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auditool-my.sharepoint.com/personal/nilmarieth_sanchez_auditool_org/Documents/Documentos/Matrices de riesgos/"/>
    </mc:Choice>
  </mc:AlternateContent>
  <xr:revisionPtr revIDLastSave="1" documentId="8_{1F1B02B9-786A-415C-AAED-3536AD426D39}" xr6:coauthVersionLast="47" xr6:coauthVersionMax="47" xr10:uidLastSave="{1B9C4F80-DED7-48AB-8F33-2209F3933D1B}"/>
  <bookViews>
    <workbookView xWindow="-28920" yWindow="-120" windowWidth="29040" windowHeight="15720" xr2:uid="{00000000-000D-0000-FFFF-FFFF00000000}"/>
  </bookViews>
  <sheets>
    <sheet name="Presentación" sheetId="1" r:id="rId1"/>
    <sheet name="Parámetros" sheetId="2" r:id="rId2"/>
    <sheet name="Matriz de cuantificación" sheetId="3" r:id="rId3"/>
    <sheet name="Oportunidades" sheetId="4" r:id="rId4"/>
    <sheet name="Escenarios y sensibilidad" sheetId="5" r:id="rId5"/>
    <sheet name="Dashboard" sheetId="6" r:id="rId6"/>
  </sheets>
  <definedNames>
    <definedName name="ActivoResponsable">Parámetros!$E$79:$E$92</definedName>
    <definedName name="ActivosFijo">Parámetros!$B$79:$B$92</definedName>
    <definedName name="ActivosTotales">Parámetros!$C$17</definedName>
    <definedName name="_xlnm.Print_Area" localSheetId="5">Dashboard!$A$1:$K$91</definedName>
    <definedName name="_xlnm.Print_Area" localSheetId="4">'Escenarios y sensibilidad'!$A$1:$J$36</definedName>
    <definedName name="_xlnm.Print_Area" localSheetId="2">'Matriz de cuantificación'!$A$1:$V$43</definedName>
    <definedName name="_xlnm.Print_Area" localSheetId="3">Oportunidades!$A$1:$J$19</definedName>
    <definedName name="_xlnm.Print_Area" localSheetId="1">Parámetros!$A$1:$J$93</definedName>
    <definedName name="_xlnm.Print_Area" localSheetId="0">Presentación!$A$1:$G$25</definedName>
    <definedName name="BaseMaterialidad">Parámetros!$C$19</definedName>
    <definedName name="Divisor">Parámetros!$C$14</definedName>
    <definedName name="EBITDA">Parámetros!$C$16</definedName>
    <definedName name="EscenarioAnalisis">'Matriz de cuantificación'!$C$6</definedName>
    <definedName name="FactorModerado">Parámetros!$I$39</definedName>
    <definedName name="FactorSevero">Parámetros!$I$40</definedName>
    <definedName name="FechaEvaluacion">Parámetros!$C$11</definedName>
    <definedName name="FlujoCaja">Parámetros!$C$18</definedName>
    <definedName name="FrecuenciaRevision">Parámetros!$F$23:$F$26</definedName>
    <definedName name="Ingresos">Parámetros!$C$15</definedName>
    <definedName name="ListaActivos">Parámetros!$B$79:INDEX(Parámetros!$B$79:$B$92,MAX(1,COUNTA(Parámetros!$B$79:$B$92)))</definedName>
    <definedName name="ListaConfianza">Parámetros!$B$58:$B$60</definedName>
    <definedName name="ListaEscenarios">Parámetros!$B$38:$B$40</definedName>
    <definedName name="ListaHorizontes">Parámetros!$B$31:$B$33</definedName>
    <definedName name="ListaIDs">'Matriz de cuantificación'!$A$8:INDEX('Matriz de cuantificación'!$A$8:$A$43,MAX(1,COUNTA('Matriz de cuantificación'!$C$8:$C$43)))</definedName>
    <definedName name="ListaMetodos">Parámetros!$B$45:$B$53</definedName>
    <definedName name="ListaNiveles">Parámetros!$B$23:$B$26</definedName>
    <definedName name="ListaOportunidades">Parámetros!$G$79:INDEX(Parámetros!$G$79:$G$92,MAX(1,COUNTA(Parámetros!$G$79:$G$92)))</definedName>
    <definedName name="ListaResponsables">Parámetros!$F$79:INDEX(Parámetros!$F$79:$F$92,MAX(1,COUNTA(Parámetros!$F$79:$F$92)))</definedName>
    <definedName name="ListaTipos">Parámetros!$B$68:$B$73</definedName>
    <definedName name="ListaVariables">Parámetros!$F$68:$F$74</definedName>
    <definedName name="MargenConfianza">Parámetros!$C$58:$C$60</definedName>
    <definedName name="MetMonetario">Parámetros!$I$45:$I$53</definedName>
    <definedName name="MetOperacion">Parámetros!$H$45:$H$53</definedName>
    <definedName name="MetUnidadSupuesto">Parámetros!$G$45:$G$53</definedName>
    <definedName name="MetVariable">Parámetros!$E$45:$E$53</definedName>
    <definedName name="Moneda">Parámetros!$C$12</definedName>
    <definedName name="Nivel_Riesgo_1">Parámetros!$B$26</definedName>
    <definedName name="Nivel_Riesgo_2">Parámetros!$B$25</definedName>
    <definedName name="Nivel_Riesgo_3">Parámetros!$B$24</definedName>
    <definedName name="Nivel_Riesgo_4">Parámetros!$B$23</definedName>
    <definedName name="Organizacion">Parámetros!$C$10</definedName>
    <definedName name="TipoCategoria">Parámetros!$C$68:$C$73</definedName>
    <definedName name="TiposFijo">Parámetros!$B$68:$B$73</definedName>
    <definedName name="_xlnm.Print_Titles" localSheetId="2">'Matriz de cuantificación'!$7:$7</definedName>
    <definedName name="_xlnm.Print_Titles" localSheetId="3">Oportunidades!$7:$7</definedName>
    <definedName name="TopeEfectividad">Parámetros!$E$64</definedName>
    <definedName name="UmbralCritico">Parámetros!$E$23</definedName>
    <definedName name="UmbralModerado">Parámetros!$E$25</definedName>
    <definedName name="UmbralSignificativo">Parámetros!$E$24</definedName>
    <definedName name="UnidadResumen">Parámetros!$C$13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6" l="1"/>
  <c r="F33" i="6"/>
  <c r="B32" i="6"/>
  <c r="F32" i="6" s="1"/>
  <c r="F31" i="6"/>
  <c r="B31" i="6"/>
  <c r="C31" i="6" s="1"/>
  <c r="B30" i="6"/>
  <c r="F30" i="6" s="1"/>
  <c r="H29" i="6"/>
  <c r="I29" i="6" s="1"/>
  <c r="B29" i="6"/>
  <c r="F29" i="6" s="1"/>
  <c r="H28" i="6"/>
  <c r="C28" i="6"/>
  <c r="B28" i="6"/>
  <c r="F28" i="6" s="1"/>
  <c r="H27" i="6"/>
  <c r="I27" i="6" s="1"/>
  <c r="B27" i="6"/>
  <c r="F27" i="6" s="1"/>
  <c r="B20" i="6"/>
  <c r="B19" i="6"/>
  <c r="B18" i="6"/>
  <c r="G13" i="6"/>
  <c r="B11" i="6"/>
  <c r="I9" i="6"/>
  <c r="B7" i="6"/>
  <c r="B19" i="5"/>
  <c r="B18" i="5"/>
  <c r="B17" i="5"/>
  <c r="B12" i="5"/>
  <c r="B11" i="5"/>
  <c r="G10" i="5"/>
  <c r="D18" i="6" s="1"/>
  <c r="F10" i="5"/>
  <c r="E10" i="5"/>
  <c r="H10" i="5" s="1"/>
  <c r="F18" i="6" s="1"/>
  <c r="D10" i="5"/>
  <c r="H18" i="6" s="1"/>
  <c r="C10" i="5"/>
  <c r="J18" i="6" s="1"/>
  <c r="B10" i="5"/>
  <c r="H19" i="4"/>
  <c r="A19" i="4"/>
  <c r="H18" i="4"/>
  <c r="A18" i="4"/>
  <c r="H17" i="4"/>
  <c r="A17" i="4"/>
  <c r="H16" i="4"/>
  <c r="A16" i="4"/>
  <c r="H15" i="4"/>
  <c r="A15" i="4"/>
  <c r="H14" i="4"/>
  <c r="A14" i="4"/>
  <c r="H13" i="4"/>
  <c r="A13" i="4"/>
  <c r="H12" i="4"/>
  <c r="A12" i="4"/>
  <c r="H11" i="4"/>
  <c r="A11" i="4"/>
  <c r="H10" i="4"/>
  <c r="A10" i="4"/>
  <c r="H9" i="4"/>
  <c r="A9" i="4"/>
  <c r="H8" i="4"/>
  <c r="I11" i="6" s="1"/>
  <c r="A8" i="4"/>
  <c r="V43" i="3"/>
  <c r="U43" i="3"/>
  <c r="T43" i="3"/>
  <c r="R43" i="3"/>
  <c r="P43" i="3"/>
  <c r="L43" i="3"/>
  <c r="J43" i="3"/>
  <c r="I43" i="3"/>
  <c r="A43" i="3"/>
  <c r="V42" i="3"/>
  <c r="U42" i="3"/>
  <c r="T42" i="3"/>
  <c r="R42" i="3"/>
  <c r="P42" i="3"/>
  <c r="L42" i="3"/>
  <c r="J42" i="3"/>
  <c r="I42" i="3"/>
  <c r="A42" i="3"/>
  <c r="V41" i="3"/>
  <c r="U41" i="3"/>
  <c r="T41" i="3"/>
  <c r="R41" i="3"/>
  <c r="P41" i="3"/>
  <c r="L41" i="3"/>
  <c r="J41" i="3"/>
  <c r="I41" i="3"/>
  <c r="A41" i="3"/>
  <c r="V40" i="3"/>
  <c r="U40" i="3"/>
  <c r="T40" i="3"/>
  <c r="R40" i="3"/>
  <c r="P40" i="3"/>
  <c r="L40" i="3"/>
  <c r="J40" i="3"/>
  <c r="I40" i="3"/>
  <c r="A40" i="3"/>
  <c r="V39" i="3"/>
  <c r="U39" i="3"/>
  <c r="T39" i="3"/>
  <c r="R39" i="3"/>
  <c r="P39" i="3"/>
  <c r="L39" i="3"/>
  <c r="J39" i="3"/>
  <c r="I39" i="3"/>
  <c r="A39" i="3"/>
  <c r="V38" i="3"/>
  <c r="U38" i="3"/>
  <c r="T38" i="3"/>
  <c r="R38" i="3"/>
  <c r="P38" i="3"/>
  <c r="L38" i="3"/>
  <c r="J38" i="3"/>
  <c r="I38" i="3"/>
  <c r="A38" i="3"/>
  <c r="V37" i="3"/>
  <c r="U37" i="3"/>
  <c r="T37" i="3"/>
  <c r="R37" i="3"/>
  <c r="P37" i="3"/>
  <c r="L37" i="3"/>
  <c r="J37" i="3"/>
  <c r="I37" i="3"/>
  <c r="A37" i="3"/>
  <c r="V36" i="3"/>
  <c r="U36" i="3"/>
  <c r="T36" i="3"/>
  <c r="R36" i="3"/>
  <c r="P36" i="3"/>
  <c r="L36" i="3"/>
  <c r="J36" i="3"/>
  <c r="I36" i="3"/>
  <c r="A36" i="3"/>
  <c r="V35" i="3"/>
  <c r="U35" i="3"/>
  <c r="T35" i="3"/>
  <c r="R35" i="3"/>
  <c r="P35" i="3"/>
  <c r="L35" i="3"/>
  <c r="J35" i="3"/>
  <c r="I35" i="3"/>
  <c r="A35" i="3"/>
  <c r="V34" i="3"/>
  <c r="U34" i="3"/>
  <c r="T34" i="3"/>
  <c r="R34" i="3"/>
  <c r="P34" i="3"/>
  <c r="L34" i="3"/>
  <c r="J34" i="3"/>
  <c r="I34" i="3"/>
  <c r="A34" i="3"/>
  <c r="R33" i="3"/>
  <c r="V33" i="3" s="1"/>
  <c r="P33" i="3"/>
  <c r="U33" i="3" s="1"/>
  <c r="T33" i="3" s="1"/>
  <c r="L33" i="3"/>
  <c r="A33" i="3"/>
  <c r="R32" i="3"/>
  <c r="V32" i="3" s="1"/>
  <c r="L32" i="3"/>
  <c r="P32" i="3" s="1"/>
  <c r="U32" i="3" s="1"/>
  <c r="T32" i="3" s="1"/>
  <c r="A32" i="3"/>
  <c r="R31" i="3"/>
  <c r="V31" i="3" s="1"/>
  <c r="L31" i="3"/>
  <c r="P31" i="3" s="1"/>
  <c r="U31" i="3" s="1"/>
  <c r="T31" i="3" s="1"/>
  <c r="A31" i="3"/>
  <c r="R30" i="3"/>
  <c r="J30" i="3"/>
  <c r="I30" i="3"/>
  <c r="E11" i="5" s="1"/>
  <c r="A30" i="3"/>
  <c r="R29" i="3"/>
  <c r="V29" i="3" s="1"/>
  <c r="L29" i="3"/>
  <c r="P29" i="3" s="1"/>
  <c r="U29" i="3" s="1"/>
  <c r="T29" i="3" s="1"/>
  <c r="A29" i="3"/>
  <c r="R28" i="3"/>
  <c r="V28" i="3" s="1"/>
  <c r="L28" i="3"/>
  <c r="P28" i="3" s="1"/>
  <c r="U28" i="3" s="1"/>
  <c r="T28" i="3" s="1"/>
  <c r="A28" i="3"/>
  <c r="V27" i="3"/>
  <c r="L27" i="3"/>
  <c r="P27" i="3" s="1"/>
  <c r="U27" i="3" s="1"/>
  <c r="T27" i="3" s="1"/>
  <c r="A27" i="3"/>
  <c r="V26" i="3"/>
  <c r="U26" i="3"/>
  <c r="T26" i="3"/>
  <c r="R26" i="3"/>
  <c r="P26" i="3"/>
  <c r="L26" i="3"/>
  <c r="A26" i="3"/>
  <c r="R25" i="3"/>
  <c r="V25" i="3" s="1"/>
  <c r="L25" i="3"/>
  <c r="A25" i="3"/>
  <c r="R24" i="3"/>
  <c r="V24" i="3" s="1"/>
  <c r="P24" i="3"/>
  <c r="U24" i="3" s="1"/>
  <c r="T24" i="3" s="1"/>
  <c r="L24" i="3"/>
  <c r="A24" i="3"/>
  <c r="L23" i="3"/>
  <c r="V23" i="3" s="1"/>
  <c r="A23" i="3"/>
  <c r="R22" i="3"/>
  <c r="V22" i="3" s="1"/>
  <c r="L22" i="3"/>
  <c r="P22" i="3" s="1"/>
  <c r="U22" i="3" s="1"/>
  <c r="T22" i="3" s="1"/>
  <c r="A22" i="3"/>
  <c r="V21" i="3"/>
  <c r="L21" i="3"/>
  <c r="P21" i="3" s="1"/>
  <c r="U21" i="3" s="1"/>
  <c r="T21" i="3" s="1"/>
  <c r="A21" i="3"/>
  <c r="V20" i="3"/>
  <c r="L20" i="3"/>
  <c r="P20" i="3" s="1"/>
  <c r="A20" i="3"/>
  <c r="R19" i="3"/>
  <c r="V19" i="3" s="1"/>
  <c r="P19" i="3"/>
  <c r="U19" i="3" s="1"/>
  <c r="T19" i="3" s="1"/>
  <c r="L19" i="3"/>
  <c r="A19" i="3"/>
  <c r="V18" i="3"/>
  <c r="L18" i="3"/>
  <c r="P18" i="3" s="1"/>
  <c r="U18" i="3" s="1"/>
  <c r="T18" i="3" s="1"/>
  <c r="J18" i="3"/>
  <c r="G12" i="5" s="1"/>
  <c r="D20" i="6" s="1"/>
  <c r="I18" i="3"/>
  <c r="A18" i="3"/>
  <c r="R17" i="3"/>
  <c r="V17" i="3" s="1"/>
  <c r="L17" i="3"/>
  <c r="P17" i="3" s="1"/>
  <c r="U17" i="3" s="1"/>
  <c r="T17" i="3" s="1"/>
  <c r="A17" i="3"/>
  <c r="L16" i="3"/>
  <c r="P16" i="3" s="1"/>
  <c r="A16" i="3"/>
  <c r="V15" i="3"/>
  <c r="R15" i="3"/>
  <c r="L15" i="3"/>
  <c r="P15" i="3" s="1"/>
  <c r="U15" i="3" s="1"/>
  <c r="T15" i="3" s="1"/>
  <c r="A15" i="3"/>
  <c r="V14" i="3"/>
  <c r="R14" i="3"/>
  <c r="L14" i="3"/>
  <c r="P14" i="3" s="1"/>
  <c r="U14" i="3" s="1"/>
  <c r="T14" i="3" s="1"/>
  <c r="A14" i="3"/>
  <c r="V13" i="3"/>
  <c r="U13" i="3"/>
  <c r="T13" i="3"/>
  <c r="R13" i="3"/>
  <c r="P13" i="3"/>
  <c r="L13" i="3"/>
  <c r="A13" i="3"/>
  <c r="V12" i="3"/>
  <c r="P12" i="3"/>
  <c r="U12" i="3" s="1"/>
  <c r="T12" i="3" s="1"/>
  <c r="L12" i="3"/>
  <c r="A12" i="3"/>
  <c r="L11" i="3"/>
  <c r="V11" i="3" s="1"/>
  <c r="A11" i="3"/>
  <c r="R10" i="3"/>
  <c r="V10" i="3" s="1"/>
  <c r="L10" i="3"/>
  <c r="P10" i="3" s="1"/>
  <c r="U10" i="3" s="1"/>
  <c r="T10" i="3" s="1"/>
  <c r="A10" i="3"/>
  <c r="C18" i="5" s="1"/>
  <c r="V9" i="3"/>
  <c r="L9" i="3"/>
  <c r="P9" i="3" s="1"/>
  <c r="U9" i="3" s="1"/>
  <c r="T9" i="3" s="1"/>
  <c r="A9" i="3"/>
  <c r="V8" i="3"/>
  <c r="U8" i="3"/>
  <c r="T8" i="3"/>
  <c r="R8" i="3"/>
  <c r="P8" i="3"/>
  <c r="L8" i="3"/>
  <c r="A8" i="3"/>
  <c r="P7" i="3"/>
  <c r="L7" i="3"/>
  <c r="J7" i="3"/>
  <c r="I7" i="3"/>
  <c r="H7" i="3"/>
  <c r="E26" i="2"/>
  <c r="E25" i="2"/>
  <c r="E24" i="2"/>
  <c r="G11" i="6" s="1"/>
  <c r="E23" i="2"/>
  <c r="U20" i="3" l="1"/>
  <c r="T20" i="3" s="1"/>
  <c r="U16" i="3"/>
  <c r="T16" i="3" s="1"/>
  <c r="D29" i="6"/>
  <c r="C19" i="6"/>
  <c r="I11" i="5"/>
  <c r="I19" i="6" s="1"/>
  <c r="G11" i="5"/>
  <c r="D19" i="6" s="1"/>
  <c r="V16" i="3"/>
  <c r="I10" i="5"/>
  <c r="I18" i="6" s="1"/>
  <c r="E25" i="5"/>
  <c r="E27" i="5"/>
  <c r="E29" i="5"/>
  <c r="E31" i="5"/>
  <c r="E33" i="5"/>
  <c r="I13" i="6"/>
  <c r="J29" i="6"/>
  <c r="D31" i="6"/>
  <c r="P25" i="3"/>
  <c r="U25" i="3" s="1"/>
  <c r="T25" i="3" s="1"/>
  <c r="V30" i="3"/>
  <c r="D15" i="5"/>
  <c r="C19" i="5"/>
  <c r="E31" i="6"/>
  <c r="C11" i="5"/>
  <c r="J19" i="6" s="1"/>
  <c r="C12" i="5"/>
  <c r="J20" i="6" s="1"/>
  <c r="D11" i="6"/>
  <c r="C27" i="6"/>
  <c r="C29" i="6"/>
  <c r="C30" i="6"/>
  <c r="D11" i="5"/>
  <c r="D12" i="5"/>
  <c r="H20" i="6" s="1"/>
  <c r="C17" i="5"/>
  <c r="E19" i="5"/>
  <c r="C18" i="6"/>
  <c r="E18" i="6" s="1"/>
  <c r="D28" i="6"/>
  <c r="E12" i="5"/>
  <c r="E18" i="5"/>
  <c r="E26" i="5"/>
  <c r="E28" i="5"/>
  <c r="E30" i="5"/>
  <c r="E28" i="6"/>
  <c r="E29" i="6"/>
  <c r="F11" i="5"/>
  <c r="F12" i="5"/>
  <c r="E17" i="5"/>
  <c r="B9" i="6"/>
  <c r="B13" i="6"/>
  <c r="P23" i="3"/>
  <c r="U23" i="3" s="1"/>
  <c r="T23" i="3" s="1"/>
  <c r="L30" i="3"/>
  <c r="P30" i="3" s="1"/>
  <c r="U30" i="3" s="1"/>
  <c r="T30" i="3" s="1"/>
  <c r="P11" i="3"/>
  <c r="U11" i="3" s="1"/>
  <c r="T11" i="3" s="1"/>
  <c r="D9" i="6"/>
  <c r="J41" i="6" l="1"/>
  <c r="D13" i="6"/>
  <c r="F22" i="6"/>
  <c r="C32" i="6"/>
  <c r="H28" i="5"/>
  <c r="G28" i="5"/>
  <c r="C22" i="6"/>
  <c r="J22" i="6"/>
  <c r="E19" i="6"/>
  <c r="H33" i="5"/>
  <c r="G33" i="5"/>
  <c r="I28" i="6"/>
  <c r="H19" i="6"/>
  <c r="J39" i="6"/>
  <c r="H31" i="5"/>
  <c r="G31" i="5"/>
  <c r="H22" i="6"/>
  <c r="J42" i="6"/>
  <c r="H26" i="5"/>
  <c r="G26" i="5" s="1"/>
  <c r="G19" i="5"/>
  <c r="H19" i="5" s="1"/>
  <c r="F19" i="5"/>
  <c r="D19" i="5"/>
  <c r="H11" i="5"/>
  <c r="F19" i="6" s="1"/>
  <c r="G18" i="5"/>
  <c r="H18" i="5" s="1"/>
  <c r="F18" i="5"/>
  <c r="D18" i="5"/>
  <c r="B20" i="5" s="1"/>
  <c r="E35" i="5"/>
  <c r="G35" i="5" s="1"/>
  <c r="H35" i="5" s="1"/>
  <c r="J40" i="6"/>
  <c r="G17" i="5"/>
  <c r="H17" i="5" s="1"/>
  <c r="F17" i="5"/>
  <c r="D17" i="5"/>
  <c r="D33" i="6"/>
  <c r="H29" i="5"/>
  <c r="G29" i="5"/>
  <c r="C33" i="6"/>
  <c r="H12" i="5"/>
  <c r="F20" i="6" s="1"/>
  <c r="C20" i="6"/>
  <c r="E20" i="6" s="1"/>
  <c r="I12" i="5"/>
  <c r="I20" i="6" s="1"/>
  <c r="E22" i="6"/>
  <c r="D34" i="6"/>
  <c r="J38" i="6"/>
  <c r="E32" i="5"/>
  <c r="D27" i="6"/>
  <c r="E27" i="6" s="1"/>
  <c r="J28" i="6"/>
  <c r="H27" i="5"/>
  <c r="G27" i="5"/>
  <c r="I22" i="6"/>
  <c r="D30" i="6"/>
  <c r="E30" i="6" s="1"/>
  <c r="G9" i="6"/>
  <c r="D32" i="6"/>
  <c r="C34" i="6"/>
  <c r="E34" i="6" s="1"/>
  <c r="H30" i="5"/>
  <c r="G30" i="5"/>
  <c r="D22" i="6"/>
  <c r="B14" i="6"/>
  <c r="J27" i="6"/>
  <c r="E34" i="5"/>
  <c r="H25" i="5"/>
  <c r="G25" i="5"/>
  <c r="E33" i="6" l="1"/>
  <c r="I40" i="6"/>
  <c r="H40" i="6"/>
  <c r="C40" i="6"/>
  <c r="B40" i="6"/>
  <c r="I39" i="6"/>
  <c r="H39" i="6"/>
  <c r="C39" i="6"/>
  <c r="B39" i="6"/>
  <c r="H34" i="5"/>
  <c r="I34" i="5" s="1"/>
  <c r="H32" i="5"/>
  <c r="I33" i="5" s="1"/>
  <c r="G32" i="5"/>
  <c r="G34" i="5" s="1"/>
  <c r="E32" i="6"/>
  <c r="B38" i="6"/>
  <c r="I38" i="6"/>
  <c r="H38" i="6"/>
  <c r="C38" i="6"/>
  <c r="I42" i="6"/>
  <c r="H42" i="6"/>
  <c r="C42" i="6"/>
  <c r="B42" i="6"/>
  <c r="C41" i="6"/>
  <c r="B41" i="6"/>
  <c r="I41" i="6"/>
  <c r="H41" i="6"/>
  <c r="I26" i="5" l="1"/>
  <c r="I25" i="5"/>
  <c r="B36" i="5" s="1"/>
  <c r="I28" i="5"/>
  <c r="I27" i="5"/>
  <c r="I30" i="5"/>
  <c r="I29" i="5"/>
  <c r="I32" i="5"/>
  <c r="I31" i="5"/>
</calcChain>
</file>

<file path=xl/sharedStrings.xml><?xml version="1.0" encoding="utf-8"?>
<sst xmlns="http://schemas.openxmlformats.org/spreadsheetml/2006/main" count="728" uniqueCount="473">
  <si>
    <t>Matriz para cuantificar el impacto financiero de los riesgos climáticos</t>
  </si>
  <si>
    <t>Introducción</t>
  </si>
  <si>
    <t>Las escalas de alto, medio o bajo no bastan para decidir cuánto invertir en adaptación, qué cobertura contratar o qué activos proteger primero. Esta herramienta traduce cada riesgo climático físico o de transición a una cifra o a un rango sustentado que responde tres preguntas: cuánto podría costarle a la organización, cuándo podría ocurrir y qué variables explican la estimación. Cada riesgo se cuantifica con un método explícito y supuestos documentados en tres escenarios, se compara antes y después de las medidas de mitigación y se prioriza según la materialidad que la organización define. Cada cifra conserva su naturaleza (gasto, inversión, margen o estimación preliminar) y remite a su dato, fuente, supuesto y fórmula, de modo que Riesgos, Finanzas y Sostenibilidad puedan construirla.
Es coherente con COSO ERM, ISO 31000, las recomendaciones del TCFD y las NIIF S1 y S2, aplicadas según su pertinencia; no es una plantilla de revelación ni acredita su cumplimiento.</t>
  </si>
  <si>
    <t>Objetivo</t>
  </si>
  <si>
    <t>Estimar en valores monetarios o rangos el impacto de cada riesgo climático, por escenario y horizonte, antes y después de las medidas de mitigación, para priorizar los riesgos según su exposición financiera y decidir cuánto invertir en mitigación, adaptación y resiliencia.</t>
  </si>
  <si>
    <t>Alcance</t>
  </si>
  <si>
    <t>Aplica a organizaciones de cualquier sector. La herramienta ofrece una estructura general adaptable a organizaciones de distintos sectores para realizar estimaciones preliminares del impacto financiero de los riesgos climáticos. La versión precargada está orientada a una empresa manufacturera agroindustrial; su utilización en otros sectores requiere revisar y adaptar los riesgos, activos expuestos, variables operativas, métodos de cuantificación, escenarios y criterios financieros. Cubre riesgos físicos agudos y crónicos y riesgos de transición, tres escenarios (base, moderado y severo) y las oportunidades climáticas asociadas. Riesgos, Finanzas y Sostenibilidad preparan las estimaciones; Auditoría Interna las revisa de forma independiente. No es un modelo climático ni calcula valor presente. Los datos precargados son de una empresa ficticia y deben reemplazarse.</t>
  </si>
  <si>
    <t>Instrucciones de uso</t>
  </si>
  <si>
    <t>Use las hojas en este orden: Parámetros → Matriz de cuantificación → Oportunidades → Escenarios y sensibilidad → Dashboard. Solo se llenan las celdas en blanco y los valores en azul; las celdas sombreadas se calculan solas.</t>
  </si>
  <si>
    <t>Importante: en la Matriz de cuantificación, al seleccionar cualquier celda aparece un mensaje que explica cómo llenarla, en qué formato y con un ejemplo. Léalo antes de escribir.</t>
  </si>
  <si>
    <t>Hoja y momento de uso</t>
  </si>
  <si>
    <t>¿Qué hace usted?</t>
  </si>
  <si>
    <t>¿Qué se calcula solo y cómo leerla?</t>
  </si>
  <si>
    <t>1. Parámetros
Se configura una vez, antes de empezar.</t>
  </si>
  <si>
    <t>Cambie solo los valores en azul: moneda y bases financieras (sección 1), umbrales de materialidad (2), años de cada horizonte (3), fuente y supuestos de los tres escenarios (4) y catálogos de activos y responsables (9). Reemplace los datos de ejemplo por los de su organización.</t>
  </si>
  <si>
    <t>Estos valores alimentan las listas desplegables, la prioridad, la fecha de revisión y el rango de las demás hojas. Solo vuelva aquí si cambia un criterio.</t>
  </si>
  <si>
    <t>2. Matriz de cuantificación
Hoja principal: una fila por riesgo.</t>
  </si>
  <si>
    <t>Llene de izquierda a derecha las celdas en blanco: tipo, riesgo, activo, horizonte y método; luego el valor expuesto, el supuesto de cada escenario y la fuente; después las medidas, su costo y efectividad, la confianza y el plan de acción. Elija el escenario de análisis en la celda C6. Si un riesgo genera gasto operativo e inversión, use una fila para cada uno.</t>
  </si>
  <si>
    <t>Las celdas sombreadas: ID, impacto bruto y residual, responsable sugerido, fecha de revisión, prioridad y validación. Corrija primero lo que indique la columna «Validación». «Pendiente» significa que falta el dato, el supuesto o la fuente; no es cero.</t>
  </si>
  <si>
    <t>3. Oportunidades
Opcional, después de la matriz.</t>
  </si>
  <si>
    <t>Use una fila por oportunidad: tipo, descripción, ID del riesgo relacionado, ingresos adicionales, ahorros y costos evitados, inversión requerida, fuente y nivel de confianza.</t>
  </si>
  <si>
    <t>El ID y el valor neto. El total aparece en el Dashboard y no se resta del impacto de los riesgos, para no contar dos veces el mismo efecto.</t>
  </si>
  <si>
    <t>4. Escenarios y sensibilidad
Para analizar; no se registran riesgos.</t>
  </si>
  <si>
    <t>Solo dos acciones, en las celdas azules: elija en la celda C15 el ID del riesgo que quiere leer y escriba en la columna F (de la sección Análisis de sensibilidad) la variación que quiere probar en cada supuesto (por ejemplo, 20%). Nada de lo que haga aquí modifica la matriz.</t>
  </si>
  <si>
    <t>Compara los tres escenarios, redacta la lectura del riesgo para la dirección y señala qué supuesto explica la mayor parte del cambio en el impacto.</t>
  </si>
  <si>
    <t>5. Dashboard
Para presentar los resultados.</t>
  </si>
  <si>
    <t>No se llena. Para ver otro escenario, cámbielo en la celda C6 de la Matriz de cuantificación.</t>
  </si>
  <si>
    <t>Resumen en una página: cifras principales, lectura automática, comparación de escenarios, riesgos físicos y de transición, horizonte, Top 5 de riesgos y gráficos.</t>
  </si>
  <si>
    <t>Importante</t>
  </si>
  <si>
    <t>La herramienta no inventa datos climáticos ni financieros: las cifras, porcentajes, precios, factores y márgenes precargados son ilustrativos y deben sustituirse por información de la organización, con su fuente. Los escenarios se comparan y nunca se suman; los totales indican exposición agregada, no un pronóstico. Registre cada efecto una sola vez para evitar la doble contabilización y revise la evaluación al menos una vez al año. Cada cifra conserva su naturaleza: el gasto operativo (OPEX) se presenta como gasto, la inversión (CAPEX) como inversión, el margen perdido se distingue de las ventas perdidas, y el deterioro de activos y las provisiones son estimaciones preliminares de exposición que no sustituyen la evaluación contable.</t>
  </si>
  <si>
    <t>Si tiene cualquier duda o inquietud sobre su funcionamiento, lo invitamos a comunicarse por medio de nuestro correo electrónico: info@auditool.org</t>
  </si>
  <si>
    <t>Parámetros – Matriz para cuantificar el impacto financiero de los riesgos climáticos</t>
  </si>
  <si>
    <t>Configure aquí los datos, criterios y catálogos que utilizan las listas, los cálculos y el Dashboard. Los valores en azul son configurables. Los datos precargados pertenecen a una empresa ficticia y son ilustrativos: ningún umbral, horizonte, margen, precio o variable climática de este archivo es una referencia universal.</t>
  </si>
  <si>
    <t>1. Datos generales y bases financieras</t>
  </si>
  <si>
    <t>Concepto</t>
  </si>
  <si>
    <t>Valor</t>
  </si>
  <si>
    <t>Uso en la herramienta</t>
  </si>
  <si>
    <t>Organización</t>
  </si>
  <si>
    <t>Conservas y Molinos del Litoral S.A. (empresa ficticia)</t>
  </si>
  <si>
    <t>Nombre que aparece en el encabezado del resumen ejecutivo del Dashboard.</t>
  </si>
  <si>
    <t>Fecha de la evaluación</t>
  </si>
  <si>
    <t>Fecha de corte de las estimaciones. Con ella y con la prioridad se calcula automáticamente la fecha de revisión de cada riesgo.</t>
  </si>
  <si>
    <t>Moneda de presentación</t>
  </si>
  <si>
    <t>USD</t>
  </si>
  <si>
    <t>Todas las cifras de la matriz deben registrarse en esta moneda.</t>
  </si>
  <si>
    <t>Unidad de los resúmenes</t>
  </si>
  <si>
    <t>miles</t>
  </si>
  <si>
    <t>Texto que acompaña las cifras resumidas (miles, millones).</t>
  </si>
  <si>
    <t>Divisor de la unidad</t>
  </si>
  <si>
    <t>Número por el que se dividen las cifras resumidas: 1.000 para miles, 1.000.000 para millones.</t>
  </si>
  <si>
    <t>Ingresos anuales</t>
  </si>
  <si>
    <t>Base para el indicador «Impacto climático / ingresos» y para la materialidad. Fuente: estados financieros.</t>
  </si>
  <si>
    <t>EBITDA anual</t>
  </si>
  <si>
    <t>Base para el indicador «Impacto climático / EBITDA» y para la materialidad. Fuente: estados financieros.</t>
  </si>
  <si>
    <t>Activos totales</t>
  </si>
  <si>
    <t>Base opcional para la materialidad. Fuente: estados financieros.</t>
  </si>
  <si>
    <t>Flujo de caja operativo</t>
  </si>
  <si>
    <t>Base de materialidad</t>
  </si>
  <si>
    <t>Base sobre la que se miden los umbrales de la sección 2. Con «Valor monetario absoluto» se usan los montos de la columna D.</t>
  </si>
  <si>
    <t>2. Escala de materialidad financiera y prioridad</t>
  </si>
  <si>
    <t>Nivel</t>
  </si>
  <si>
    <t>Desde (% de la base)</t>
  </si>
  <si>
    <t>Desde (monto absoluto)</t>
  </si>
  <si>
    <t>Umbral efectivo</t>
  </si>
  <si>
    <t>Revisión cada (meses)</t>
  </si>
  <si>
    <t>Interpretación</t>
  </si>
  <si>
    <t>Crítico</t>
  </si>
  <si>
    <t>Exposición máxima. Requiere decisión de la alta dirección y reporte al órgano de gobierno.</t>
  </si>
  <si>
    <t>Significativo</t>
  </si>
  <si>
    <t>Exposición relevante. Requiere plan de acción aprobado, responsable y fecha de seguimiento.</t>
  </si>
  <si>
    <t>Moderado</t>
  </si>
  <si>
    <t>Exposición gestionable con medidas proporcionales y seguimiento del responsable.</t>
  </si>
  <si>
    <t>Bajo</t>
  </si>
  <si>
    <t>Exposición limitada. Se acepta y se revisa en el ciclo normal de actualización.</t>
  </si>
  <si>
    <t>La prioridad de cada riesgo resulta de comparar su impacto financiero residual con el umbral efectivo. Si elige «Valor monetario absoluto», registre antes los montos de la columna D: con montos en cero todos los riesgos quedarían como críticos. Los porcentajes y montos son ilustrativos: cada organización debe definir y aprobar los suyos; no existe un umbral universal. La frecuencia de revisión fija automáticamente la fecha de revisión de cada riesgo según su prioridad.</t>
  </si>
  <si>
    <t>3. Horizontes temporales</t>
  </si>
  <si>
    <t>Horizonte</t>
  </si>
  <si>
    <t>Desde (años)</t>
  </si>
  <si>
    <t>Hasta (años)</t>
  </si>
  <si>
    <t>Criterio con el que la organización lo definió</t>
  </si>
  <si>
    <t>Corto plazo</t>
  </si>
  <si>
    <t>Ciclo presupuestal y plan de negocio vigente (ilustrativo).</t>
  </si>
  <si>
    <t>Mediano plazo</t>
  </si>
  <si>
    <t>Ciclo de inversión y plazo de la deuda (ilustrativo).</t>
  </si>
  <si>
    <t>Largo plazo</t>
  </si>
  <si>
    <t>Vida útil remanente de los activos principales (ilustrativo).</t>
  </si>
  <si>
    <t>Los años no se imponen: defínalos según la estrategia, la vida útil de los activos, el ciclo de inversión, el financiamiento, la industria y la naturaleza de cada riesgo.</t>
  </si>
  <si>
    <t>4. Escenarios</t>
  </si>
  <si>
    <t>Escenario</t>
  </si>
  <si>
    <t>Descripción</t>
  </si>
  <si>
    <t>Fuente, fecha y horizonte</t>
  </si>
  <si>
    <t>Variable climática y cambio esperado</t>
  </si>
  <si>
    <t>Supuestos y justificación</t>
  </si>
  <si>
    <t>Factor sobre el supuesto base</t>
  </si>
  <si>
    <t>Base</t>
  </si>
  <si>
    <t>Condiciones climáticas y regulatorias vigentes, coherentes con el presupuesto y el plan de negocio.</t>
  </si>
  <si>
    <t>Presupuesto y plan de negocio de la organización, diciembre de 2025 (ejemplo ilustrativo). Horizonte: corto, mediano y largo plazo.</t>
  </si>
  <si>
    <t>Sin cambio frente a la tendencia reciente.</t>
  </si>
  <si>
    <t>Frecuencia y severidad de eventos similares a las observadas; sin nuevas exigencias. Es el punto de partida de la comparación.</t>
  </si>
  <si>
    <t>Eventos extremos más frecuentes y transición regulatoria y de mercado gradual.</t>
  </si>
  <si>
    <t>Por documentar: escenario externo o estudio interno adoptado, con su fecha. Horizonte: corto, mediano y largo plazo.</t>
  </si>
  <si>
    <t>Por documentar con la fuente climática o regulatoria que adopte la organización. No se precargan valores climáticos.</t>
  </si>
  <si>
    <t>Interrupciones más largas, mayores costos y primeras exigencias de carbono y de reporte. Deterioro plausible sin llegar a estrés.</t>
  </si>
  <si>
    <t>Severo</t>
  </si>
  <si>
    <t>Eventos extremos más frecuentes e intensos y transición acelerada o desordenada.</t>
  </si>
  <si>
    <t>Supuestos de estrés en días de interrupción, daño, precio del carbono y demanda. Muestra la exposición extrema aunque su probabilidad sea baja.</t>
  </si>
  <si>
    <t>La herramienta compara tres escenarios. Puede cambiarles el nombre o sustituir cualquiera por un escenario climático externo del que disponga la organización. Todo supuesto tomado de una fuente externa debe quedar identificado con su fuente y su fecha. El factor es un atajo para las filas nuevas de la matriz: propone el supuesto de los escenarios segundo y tercero como supuesto base × factor. Es ilustrativo; reemplace la propuesta por el valor propio de cada riesgo cuando lo tenga.</t>
  </si>
  <si>
    <t>5. Métodos de cuantificación y unidades de medida</t>
  </si>
  <si>
    <t>Método y unidad de medida</t>
  </si>
  <si>
    <t>Dato: valor financiero expuesto</t>
  </si>
  <si>
    <t>Variable financiera afectada</t>
  </si>
  <si>
    <t>Supuesto de impacto (por escenario)</t>
  </si>
  <si>
    <t>Unidad del supuesto</t>
  </si>
  <si>
    <t>Operación</t>
  </si>
  <si>
    <t>¿Dato monetario?</t>
  </si>
  <si>
    <t>Pérdida de ingresos (ingresos × %)</t>
  </si>
  <si>
    <t>Ingresos expuestos del periodo</t>
  </si>
  <si>
    <t>Ingresos (ventas perdidas)</t>
  </si>
  <si>
    <t>% de reducción estimada</t>
  </si>
  <si>
    <t>%</t>
  </si>
  <si>
    <t>×</t>
  </si>
  <si>
    <t>Sí</t>
  </si>
  <si>
    <t>Incremento de costos (costo × %)</t>
  </si>
  <si>
    <t>Costo base del periodo</t>
  </si>
  <si>
    <t>Costos operativos (OPEX)</t>
  </si>
  <si>
    <t>% de incremento</t>
  </si>
  <si>
    <t>Daño a activos (valor × %)</t>
  </si>
  <si>
    <t>Valor expuesto del activo</t>
  </si>
  <si>
    <t>Activos (estimación preliminar)</t>
  </si>
  <si>
    <t>% de daño estimado</t>
  </si>
  <si>
    <t>Interrupción operativa (margen diario × días)</t>
  </si>
  <si>
    <t>Margen de contribución diario (ventas menos costos variables)</t>
  </si>
  <si>
    <t>Margen perdido</t>
  </si>
  <si>
    <t>Días estimados de interrupción</t>
  </si>
  <si>
    <t>días</t>
  </si>
  <si>
    <t>No</t>
  </si>
  <si>
    <t>Deterioro de activos: estimación preliminar (valor contable × %)</t>
  </si>
  <si>
    <t>Valor contable expuesto</t>
  </si>
  <si>
    <t>% de deterioro estimado</t>
  </si>
  <si>
    <t>Carbono (tCO2e × precio)</t>
  </si>
  <si>
    <t>Emisiones expuestas en tCO2e</t>
  </si>
  <si>
    <t>Precio del carbono por tCO2e</t>
  </si>
  <si>
    <t>moneda/tCO2e</t>
  </si>
  <si>
    <t>Inversión en adaptación (CAPEX base × veces)</t>
  </si>
  <si>
    <t>CAPEX requerido en el escenario base (inversión, se paga una vez)</t>
  </si>
  <si>
    <t>CAPEX (inversión)</t>
  </si>
  <si>
    <t>Veces el CAPEX base que exige el escenario</t>
  </si>
  <si>
    <t>veces</t>
  </si>
  <si>
    <t>Costo de financiamiento (deuda × Δ tasa)</t>
  </si>
  <si>
    <t>Deuda o financiamiento expuesto</t>
  </si>
  <si>
    <t>Financiamiento</t>
  </si>
  <si>
    <t>Incremento de la tasa</t>
  </si>
  <si>
    <t>Pasivos y provisiones: estimación preliminar (monto × %)</t>
  </si>
  <si>
    <t>Monto reclamado o expuesto</t>
  </si>
  <si>
    <t>Pasivos y provisiones (estimación preliminar)</t>
  </si>
  <si>
    <t>% estimado de desembolso</t>
  </si>
  <si>
    <t>De aquí toma la matriz la fórmula de cada riesgo y el Dashboard la variable financiera a la que asigna el impacto (columna en azul, editable). Cada cifra conserva su naturaleza: un gasto operativo (OPEX) se presenta como gasto, una inversión (CAPEX) como inversión y el margen perdido se distingue de las ventas perdidas. Los métodos marcados como «estimación preliminar» valoran la exposición al riesgo; no sustituyen la evaluación contable del deterioro o de la provisión. Si un riesgo genera OPEX y CAPEX, regístrelo en dos filas.</t>
  </si>
  <si>
    <t>6. Nivel de confianza y margen de incertidumbre</t>
  </si>
  <si>
    <t>Nivel de confianza</t>
  </si>
  <si>
    <t>Margen del rango (±)</t>
  </si>
  <si>
    <t>Cuándo asignarlo</t>
  </si>
  <si>
    <t>Alta</t>
  </si>
  <si>
    <t>Datos propios, recientes y completos (contabilidad, registros de activos, pólizas); método documentado; pocos supuestos; estimación validada por un área independiente de quien la preparó.</t>
  </si>
  <si>
    <t>Media</t>
  </si>
  <si>
    <t>Datos parciales o con más de un año de antigüedad; método razonable pero con supuestos relevantes; cobertura incompleta de activos o ubicaciones; sin validación independiente.</t>
  </si>
  <si>
    <t>Baja</t>
  </si>
  <si>
    <t>Datos escasos, externos o genéricos; la cifra depende sobre todo de supuestos; incertidumbre climática alta; sin validación. Exige revisión antes de usarla para decidir.</t>
  </si>
  <si>
    <t>El margen convierte cada estimación en un rango (mínimo – máximo) para no presentar una precisión que los datos no sustentan: a menor confianza, rango más amplio. Los márgenes son ilustrativos y parametrizables. Criterios de confianza: calidad de los datos, fuente, antigüedad, cobertura, metodología, dependencia de supuestos, incertidumbre climática y validación independiente.</t>
  </si>
  <si>
    <t>7. Criterio de reconocimiento de las medidas de mitigación</t>
  </si>
  <si>
    <t>Tope máximo de efectividad reconocida</t>
  </si>
  <si>
    <t>Ninguna medida elimina por completo el riesgo. La efectividad registrada en la matriz debe estar respaldada con evidencia y nunca se reconoce por encima de este tope.</t>
  </si>
  <si>
    <t>8. Catálogos editables (tipos de riesgo y variables financieras)</t>
  </si>
  <si>
    <t>Tipo de riesgo climático</t>
  </si>
  <si>
    <t>Categoría</t>
  </si>
  <si>
    <t>Qué incluye</t>
  </si>
  <si>
    <t>Efectos que agrupa</t>
  </si>
  <si>
    <t>Físico agudo</t>
  </si>
  <si>
    <t>Físico</t>
  </si>
  <si>
    <t>Inundaciones, tormentas, incendios, olas de calor, sequías severas, deslizamientos.</t>
  </si>
  <si>
    <t>Valor de las ventas que se dejan de facturar. No es margen: para comparar con EBITDA use «Margen perdido».</t>
  </si>
  <si>
    <t>Físico crónico</t>
  </si>
  <si>
    <t>Temperatura, lluvias, estrés hídrico, nivel del mar, degradación productiva.</t>
  </si>
  <si>
    <t>Ventas perdidas menos los costos variables que no se incurren. Es el efecto en el resultado de una interrupción.</t>
  </si>
  <si>
    <t>Transición: política y legal</t>
  </si>
  <si>
    <t>Transición</t>
  </si>
  <si>
    <t>Regulación, precio al carbono, impuestos, límites de emisiones, litigios.</t>
  </si>
  <si>
    <t>Gasto adicional para operar: energía, agua, materias primas, transporte, seguros, carbono, mantenimiento y personal. Se paga en cada periodo.</t>
  </si>
  <si>
    <t>Transición: tecnología</t>
  </si>
  <si>
    <t>Cambio tecnológico, sustitución, obsolescencia, activos varados.</t>
  </si>
  <si>
    <t>Daño físico o deterioro estimado. Valora el riesgo; no determina el deterioro contable, que requiere la evaluación bajo las normas aplicables.</t>
  </si>
  <si>
    <t>Transición: mercado</t>
  </si>
  <si>
    <t>Preferencias de consumidores, exigencias de clientes, precios de insumos y seguros.</t>
  </si>
  <si>
    <t>Inversión en adaptación, sustitución tecnológica, infraestructura resiliente o descarbonización. Se paga una vez, en el horizonte indicado; no es gasto operativo.</t>
  </si>
  <si>
    <t>Transición: reputación</t>
  </si>
  <si>
    <t>Presión de inversionistas, costo de financiamiento, imagen.</t>
  </si>
  <si>
    <t>Mayor gasto financiero por tasas, primas de riesgo, acceso al crédito y covenants.</t>
  </si>
  <si>
    <t>Litigios, sanciones, remediación y obligaciones ambientales. Valora la exposición; no determina si existe una provisión contable ni su importe.</t>
  </si>
  <si>
    <t>La categoría (Físico o Transición) alimenta la comparación del Dashboard. Para evitar la doble contabilización, registre cada efecto una sola vez.</t>
  </si>
  <si>
    <t>9. Catálogos editables (activos expuestos, responsables y tipos de oportunidad)</t>
  </si>
  <si>
    <t>Activo, proceso o ubicación expuesta</t>
  </si>
  <si>
    <t>Responsable sugerido</t>
  </si>
  <si>
    <t>Responsables del riesgo (catálogo)</t>
  </si>
  <si>
    <t>Tipo de oportunidad climática</t>
  </si>
  <si>
    <t>Planta de procesamiento (zona ribereña)</t>
  </si>
  <si>
    <t>Edificaciones, maquinaria e inventarios en cota inundable.</t>
  </si>
  <si>
    <t>Gerencia de Operaciones</t>
  </si>
  <si>
    <t>Gerencia de Riesgos</t>
  </si>
  <si>
    <t>Eficiencia energética</t>
  </si>
  <si>
    <t>Centro de distribución portuario</t>
  </si>
  <si>
    <t>Bodega y patios a nivel del mar.</t>
  </si>
  <si>
    <t>Gerencia de Proyectos e Ingeniería</t>
  </si>
  <si>
    <t>Reducción de costos</t>
  </si>
  <si>
    <t>Cultivos propios y agricultores vinculados</t>
  </si>
  <si>
    <t>Abastecimiento agrícola local.</t>
  </si>
  <si>
    <t>Gerencia de Compras</t>
  </si>
  <si>
    <t>Gerencia Administrativa y de Seguros</t>
  </si>
  <si>
    <t>Energías renovables</t>
  </si>
  <si>
    <t>Proveedores de materias primas e insumos</t>
  </si>
  <si>
    <t>Insumos importados y empaques metálicos.</t>
  </si>
  <si>
    <t>Gerencia de Logística</t>
  </si>
  <si>
    <t>Productos bajos en carbono</t>
  </si>
  <si>
    <t>Red logística y transporte terrestre</t>
  </si>
  <si>
    <t>Rutas de montaña entre planta, puerto y clientes.</t>
  </si>
  <si>
    <t>Gerencia de Talento Humano</t>
  </si>
  <si>
    <t>Nuevos mercados</t>
  </si>
  <si>
    <t>Calderas y sistema térmico</t>
  </si>
  <si>
    <t>Generación de vapor con combustibles fósiles.</t>
  </si>
  <si>
    <t>Financiamiento sostenible</t>
  </si>
  <si>
    <t>Línea de empaques y refrigeración</t>
  </si>
  <si>
    <t>Cuartos fríos, equipos de refrigeración y empaque.</t>
  </si>
  <si>
    <t>Gerencia de Mantenimiento y Energía</t>
  </si>
  <si>
    <t>Innovación tecnológica</t>
  </si>
  <si>
    <t>Abastecimiento de energía y agua</t>
  </si>
  <si>
    <t>Captación de agua de proceso y suministro eléctrico.</t>
  </si>
  <si>
    <t>Infraestructura resiliente</t>
  </si>
  <si>
    <t>Portafolio de productos convencionales</t>
  </si>
  <si>
    <t>Productos con mayor huella de carbono.</t>
  </si>
  <si>
    <t>Gerencia Comercial</t>
  </si>
  <si>
    <t>Gerencia de Sostenibilidad</t>
  </si>
  <si>
    <t>Economía circular</t>
  </si>
  <si>
    <t>Clientes corporativos y de exportación</t>
  </si>
  <si>
    <t>Cadenas y compradores con requisitos climáticos.</t>
  </si>
  <si>
    <t>Gerencia Financiera</t>
  </si>
  <si>
    <t>Ventajas competitivas</t>
  </si>
  <si>
    <t>Financiamiento corporativo y seguros</t>
  </si>
  <si>
    <t>Deuda financiera, covenants y programa de seguros.</t>
  </si>
  <si>
    <t>Gerencia Jurídica</t>
  </si>
  <si>
    <t>Gobierno corporativo, cumplimiento y reporte</t>
  </si>
  <si>
    <t>Obligaciones regulatorias, legales y de reporte.</t>
  </si>
  <si>
    <t>Gerencia de Innovación y Desarrollo</t>
  </si>
  <si>
    <t>Marca y reputación corporativa</t>
  </si>
  <si>
    <t>Marca propia y declaraciones ambientales.</t>
  </si>
  <si>
    <t>Gerencia de Mercadeo</t>
  </si>
  <si>
    <t>Mantenga los catálogos consecutivos, sin filas vacías entre valores. El responsable sugerido se asigna automáticamente en la matriz al elegir el activo expuesto. Los responsables son áreas de primera o segunda línea: Auditoría Interna revisa la matriz de forma independiente y no es responsable de riesgos ni de medidas.</t>
  </si>
  <si>
    <t>Escenario de análisis</t>
  </si>
  <si>
    <t>Cambie aquí el escenario. Las celdas sombreadas se calculan o se proponen solas. Datos de ejemplo de una empresa ficticia: reemplácelos por los de su organización.</t>
  </si>
  <si>
    <t>ID</t>
  </si>
  <si>
    <t>Riesgo identificado
(causa → evento → impacto)</t>
  </si>
  <si>
    <t>Horizonte temporal</t>
  </si>
  <si>
    <t>Valor financiero expuesto (dato)</t>
  </si>
  <si>
    <t>Fuente de información y sustento</t>
  </si>
  <si>
    <t>Medidas de mitigación / adaptación</t>
  </si>
  <si>
    <t>Costo de la medida</t>
  </si>
  <si>
    <t>Efectividad estimada</t>
  </si>
  <si>
    <t>Responsable</t>
  </si>
  <si>
    <t>Plan de acción</t>
  </si>
  <si>
    <t>Fecha de revisión</t>
  </si>
  <si>
    <t>Prioridad</t>
  </si>
  <si>
    <t>Validación</t>
  </si>
  <si>
    <t>Debido a precipitaciones extremas en la cuenca, podría inundarse la planta de procesamiento, lo que detendría la producción y reduciría el margen de los días sin operar.</t>
  </si>
  <si>
    <t>Datos operativos y de producción. Margen de contribución diario de la planta según costos de producción; días de parada estimados por Operaciones con el evento de referencia del plan de continuidad. Ejemplo ilustrativo.</t>
  </si>
  <si>
    <t>Plan de continuidad con traslado temporal de producción a maquila y póliza de lucro cesante con deducible de cinco días.</t>
  </si>
  <si>
    <t>Ejecutar un simulacro del plan de continuidad y documentar los tiempos reales de recuperación.
Calcular producción recuperada, margen perdido y recuperación asegurada por separado.</t>
  </si>
  <si>
    <t>Debido a precipitaciones extremas, el agua podría ingresar a las áreas de proceso y bodegas, lo que dañaría edificaciones, maquinaria e inventarios y obligaría a repararlos o reponerlos.</t>
  </si>
  <si>
    <t>Registro de activos fijos. Valor de reposición de los activos ubicados en cota inundable; porcentaje de daño estimado con el ajustador de seguros. Ejemplo ilustrativo.</t>
  </si>
  <si>
    <t>Póliza todo riesgo de daños materiales con cobertura de inundación (deducible del 10 % de la pérdida) y dique perimetral.</t>
  </si>
  <si>
    <t>Actualizar el avalúo de reposición y revisar el sublímite de inundación antes de renovar la póliza.
Separar reducción del daño físico y transferencia financiera al asegurador.</t>
  </si>
  <si>
    <t>Debido a tormentas y deslizamientos en las vías de montaña, podrían cerrarse las rutas entre la planta y el puerto, lo que generaría sobrecostos de transporte y penalidades por entregas tardías.</t>
  </si>
  <si>
    <t>Presupuesto y plan de negocio. Costo logístico anual presupuestado; incremento por rutas alternas y penalidades según el historial de cierres de la red vial. Ejemplo ilustrativo.</t>
  </si>
  <si>
    <t>Rutas alternas contratadas y existencias de seguridad de producto terminado en dos centros regionales.</t>
  </si>
  <si>
    <t>Formalizar los acuerdos de transporte alterno y medir el sobrecosto real de cada evento.</t>
  </si>
  <si>
    <t>Debido a olas de calor más frecuentes, podría reducirse el rendimiento del personal de planta, lo que elevaría el costo laboral por horas extra, pausas obligatorias y ausentismo.</t>
  </si>
  <si>
    <t>Presupuesto y plan de negocio. Costo anual del personal de planta; porcentaje estimado sin medición propia de horas perdidas por calor. Ejemplo ilustrativo.</t>
  </si>
  <si>
    <t>Medir las horas perdidas por estrés térmico y evaluar ventilación y ajuste de turnos.</t>
  </si>
  <si>
    <t>Debido al estrés hídrico creciente en la cuenca, podría restringirse el agua disponible para el proceso, lo que obligaría a detener líneas de producción y reduciría el margen de esos días.</t>
  </si>
  <si>
    <t>Datos operativos y de producción. Margen de contribución diario de la planta; días de restricción estimados con los racionamientos de años secos anteriores. Ejemplo ilustrativo.</t>
  </si>
  <si>
    <t>Pozo profundo concesionado y recirculación del 30 % del agua de proceso.</t>
  </si>
  <si>
    <t>Contratar un estudio hidrológico de la cuenca y probar la capacidad del pozo en época seca.</t>
  </si>
  <si>
    <t>Debido al aumento gradual del nivel del mar, podría inundarse de forma recurrente el centro de distribución portuario, lo que reduciría su vida útil y obligaría a reconocer un deterioro de su valor.</t>
  </si>
  <si>
    <t>Registro de activos fijos. Valor en libros del centro de distribución; porcentaje de deterioro sin estudio técnico de la ubicación. Ejemplo ilustrativo.</t>
  </si>
  <si>
    <t>Estudio de relocalización y elevación de las plataformas de almacenamiento (en evaluación).</t>
  </si>
  <si>
    <t>Contratar el estudio de vulnerabilidad costera y definir si procede relocalizar o adaptar.</t>
  </si>
  <si>
    <t>Debido a cambios persistentes en las lluvias y la temperatura, podría disminuir el rendimiento de los cultivos de la zona, lo que encarecería la materia prima agrícola.</t>
  </si>
  <si>
    <t>Presupuesto y plan de negocio. Compras anuales de materia prima agrícola; incremento estimado con la variación de precios de las cosechas afectadas por clima. Ejemplo ilustrativo.</t>
  </si>
  <si>
    <t>Diversificación geográfica de las zonas de abastecimiento y contratos de suministro a mediano plazo.</t>
  </si>
  <si>
    <t>Ampliar el abastecimiento a una tercera zona y revisar las cláusulas de precio de los contratos.</t>
  </si>
  <si>
    <t>Debido al incremento sostenido de la temperatura, los cuartos fríos tendrían que operar más horas, lo que aumentaría el consumo y el costo de la energía.</t>
  </si>
  <si>
    <t>Datos operativos y de producción. Costo anual de la energía de refrigeración; incremento estimado con la relación histórica entre temperatura y consumo. Ejemplo ilustrativo.</t>
  </si>
  <si>
    <t>Programa de eficiencia energética en cuartos fríos y contrato de energía solar para autoconsumo.</t>
  </si>
  <si>
    <t>Medir el ahorro real del programa de eficiencia durante un ciclo anual completo.</t>
  </si>
  <si>
    <t>Debido a la adopción de un precio al carbono para la industria, las emisiones de las calderas quedarían gravadas, lo que crearía un costo operativo que hoy no existe.</t>
  </si>
  <si>
    <t>Inventario de emisiones de GEI. Emisiones de alcance 1 del último inventario. Precio hipotético: sustituir por el precio del carbono de la jurisdicción y del escenario adoptado, con su fuente y fecha. Ejemplo ilustrativo.</t>
  </si>
  <si>
    <t>Plan de sustitución de combustibles en calderas (su CAPEX se registra en RC-14 para no duplicarlo).</t>
  </si>
  <si>
    <t>Documentar el precio del carbono por escenario con una fuente externa y someterlo a validación de Finanzas.</t>
  </si>
  <si>
    <t>Debido a nuevos requerimientos de reporte y verificación de información climática, la organización tendría que implementar sistemas y controles de datos, lo que exigiría inversión y costos recurrentes.</t>
  </si>
  <si>
    <t>Proyecciones internas. CAPEX del sistema de datos según cotización (escenario base) y alcance de reporte de cada escenario. Los costos operativos recurrentes se registran aparte en RC-25. Ejemplo ilustrativo.</t>
  </si>
  <si>
    <t>Hoja de ruta de reporte con responsables por dato y aseguramiento limitado contratado.</t>
  </si>
  <si>
    <t>Completar el inventario de datos requeridos y asignar responsables por cada indicador.</t>
  </si>
  <si>
    <t>Debido a reclamaciones de comunidades o autoridades por el desempeño ambiental y climático, podrían iniciarse litigios o procesos sancionatorios, lo que generaría indemnizaciones, multas y costos de defensa.</t>
  </si>
  <si>
    <t>Seguimiento jurídico de los procesos y póliza de responsabilidad civil ambiental.</t>
  </si>
  <si>
    <t>Estimar con el asesor externo el monto expuesto por proceso y el porcentaje probable de desembolso.</t>
  </si>
  <si>
    <t>Debido a límites de emisiones más estrictos, la autoridad podría restringir las horas de operación de las calderas, lo que reduciría la producción y las ventas de las líneas que dependen del vapor.</t>
  </si>
  <si>
    <t>Estados financieros. Ingresos anuales de las líneas que dependen del vapor; reducción estimada con las horas de operación que permitiría la restricción. Ejemplo ilustrativo.</t>
  </si>
  <si>
    <t>Monitoreo continuo de emisiones y plan de mantenimiento de quemadores.</t>
  </si>
  <si>
    <t>Simular la producción con los límites del proyecto de norma y definir la brecha de cumplimiento.</t>
  </si>
  <si>
    <t>Debido a estándares de eficiencia y a la transición hacia fuentes limpias, las calderas actuales podrían salir de servicio antes del fin de su vida útil, lo que obligaría a reconocer el deterioro de su valor en libros.</t>
  </si>
  <si>
    <t>Registro de activos fijos. Valor en libros de calderas y equipos térmicos; porcentaje de deterioro según los años de vida útil que se perderían. Ejemplo ilustrativo.</t>
  </si>
  <si>
    <t>Revisión anual de la vida útil remanente y plan de reconversión por etapas.</t>
  </si>
  <si>
    <t>Incluir el supuesto de retiro anticipado en la prueba anual de deterioro.</t>
  </si>
  <si>
    <t>Debido a las metas de reducción de emisiones exigidas por reguladores y clientes, la organización tendría que reconvertir su sistema térmico, lo que demandaría inversiones no previstas en el plan de negocio.</t>
  </si>
  <si>
    <t>Proyecciones internas. CAPEX de ingeniería conceptual (escenario base) y alcance de reconversión de cada escenario. Los costos operativos del periodo de transición se registran aparte en RC-26. Ejemplo ilustrativo.</t>
  </si>
  <si>
    <t>Ejecución por fases con financiamiento sostenible y contratos de desempeño energético.</t>
  </si>
  <si>
    <t>Pasar de ingeniería conceptual a ingeniería básica para reducir el rango del CAPEX.
Separar inversión, OPEX de transición, ahorro operativo y efectos del financiamiento.</t>
  </si>
  <si>
    <t>Debido a la eliminación gradual de refrigerantes de alto potencial de calentamiento, los equipos de refrigeración actuales podrían quedar obsoletos, lo que reduciría su valor y adelantaría su reemplazo.</t>
  </si>
  <si>
    <t>Registro de activos fijos. Valor en libros de los equipos de refrigeración; porcentaje de deterioro según el calendario de retiro de cada refrigerante. Ejemplo ilustrativo.</t>
  </si>
  <si>
    <t>Plan de reemplazo gradual por equipos con refrigerantes de bajo potencial de calentamiento.</t>
  </si>
  <si>
    <t>Priorizar el reemplazo de los equipos con mayor valor en libros y menor disponibilidad de repuestos.</t>
  </si>
  <si>
    <t>Debido a la exigencia de empaques de menor huella de carbono, la organización tendría que sustituir sus materiales actuales, lo que elevaría el costo unitario de empaque.</t>
  </si>
  <si>
    <t>Información de proveedores y clientes. Costo anual de empaques; incremento según cotizaciones de materiales alternativos de los proveedores actuales. Ejemplo ilustrativo.</t>
  </si>
  <si>
    <t>Rediseño de empaques con proveedores y pruebas de materiales alternativos.</t>
  </si>
  <si>
    <t>Cerrar las pruebas de línea con dos materiales alternativos y negociar precios por volumen.</t>
  </si>
  <si>
    <t>Debido al cambio en las preferencias de los consumidores hacia productos de menor huella, podría caer la demanda del portafolio convencional, lo que reduciría las ventas.</t>
  </si>
  <si>
    <t>Estados financieros. Ingresos anuales del portafolio convencional; reducción estimada con estudios de mercado de categorías comparables. Ejemplo ilustrativo.</t>
  </si>
  <si>
    <t>Desarrollo de una línea de productos de menor huella con etiquetado ambiental verificado.</t>
  </si>
  <si>
    <t>Contratar un estudio de demanda por canal y validar la elasticidad con ventas reales.</t>
  </si>
  <si>
    <t>Debido a que los clientes corporativos exigen metas de huella de carbono a sus proveedores, la organización podría quedar excluida de contratos, lo que reduciría sus ingresos de exportación.</t>
  </si>
  <si>
    <t>Información de proveedores y clientes. Ingresos anuales de clientes con requisitos climáticos vigentes o anunciados; reducción según los contratos que vencen en el horizonte. Ejemplo ilustrativo.</t>
  </si>
  <si>
    <t>Medición y verificación de la huella de carbono por producto y reporte a clientes clave.</t>
  </si>
  <si>
    <t>Levantar los requisitos climáticos de los diez principales clientes y el estado de cumplimiento.</t>
  </si>
  <si>
    <t>Debido a eventos climáticos en las regiones productoras, podría aumentar el precio internacional de insumos clave, lo que elevaría el costo de producción.</t>
  </si>
  <si>
    <t>Presupuesto y plan de negocio. Compras anuales de insumos importados; incremento según la variación de precios en años con eventos climáticos. Ejemplo ilustrativo.</t>
  </si>
  <si>
    <t>Coberturas de precio para insumos clave y proveedores alternativos homologados.</t>
  </si>
  <si>
    <t>Revisar el porcentaje cubierto por insumo y el vencimiento de las coberturas.</t>
  </si>
  <si>
    <t>Debido a la mayor siniestralidad climática del mercado asegurador, las aseguradoras podrían subir las primas y los deducibles, lo que elevaría el costo del programa de seguros.</t>
  </si>
  <si>
    <t>Pólizas e informes de seguros. Primas anuales del programa de seguros; incremento según lo informado por el corredor para riesgos de inundación. Ejemplo ilustrativo.</t>
  </si>
  <si>
    <t>Evaluar con el corredor alternativas de retención y de mejora del riesgo antes de la renovación.</t>
  </si>
  <si>
    <t>Debido a que bancos e inversionistas incorporan el desempeño climático en sus decisiones, la organización podría refinanciar su deuda con un margen mayor, lo que elevaría el gasto financiero.</t>
  </si>
  <si>
    <t>Estados financieros. Deuda financiera que se refinancia en el horizonte; incremento de margen conversado con los bancos de relación. Ejemplo ilustrativo.</t>
  </si>
  <si>
    <t>Marco de financiamiento vinculado a la sostenibilidad y diversificación de las fuentes de fondeo.</t>
  </si>
  <si>
    <t>Solicitar a los bancos de relación los criterios climáticos que aplicarán en la próxima refinanciación.</t>
  </si>
  <si>
    <t>Debido a declaraciones ambientales sin respaldo suficiente, la organización podría ser señalada públicamente de publicidad engañosa, lo que afectaría la confianza en la marca y sus ventas.</t>
  </si>
  <si>
    <t>Estados financieros. Ingresos anuales de la marca propia; reducción estimada sin casos comparables documentados. Ejemplo ilustrativo.</t>
  </si>
  <si>
    <t>Política de declaraciones ambientales con validación jurídica y técnica previa a su publicación.</t>
  </si>
  <si>
    <t>Inventariar las declaraciones ambientales vigentes y documentar el respaldo de cada una.</t>
  </si>
  <si>
    <t>Debido a la exigencia de un plan de transición creíble por parte de los inversionistas, podrían condicionarse los aportes de capital previstos, lo que limitaría la caja disponible para el plan de inversiones.</t>
  </si>
  <si>
    <t>Definir en el Comité Financiero el monto de capital expuesto y el supuesto de costo adicional.
Evaluar brecha de liquidez, financiación sustitutiva y proyectos afectados.</t>
  </si>
  <si>
    <t>Debido al incumplimiento de las metas climáticas pactadas en créditos vinculados a la sostenibilidad, podrían activarse penalidades contractuales, lo que generaría pagos adicionales a los financiadores.</t>
  </si>
  <si>
    <t>Estados financieros. Penalidad máxima e incremento de margen pactados en los contratos; porcentaje según la brecha frente a las metas. Ejemplo ilustrativo.</t>
  </si>
  <si>
    <t>Tablero trimestral de los indicadores pactados con alertas tempranas al Comité Financiero.</t>
  </si>
  <si>
    <t>Verificar trimestralmente la brecha frente a cada meta pactada y su efecto contractual.</t>
  </si>
  <si>
    <t>Debido a los nuevos requerimientos de reporte y verificación de información climática, la organización tendría que sostener costos operativos recurrentes de captura de datos, controles y aseguramiento externo, lo que elevaría el gasto administrativo cada periodo.</t>
  </si>
  <si>
    <t>Presupuesto y plan de negocio. Costo anual del área de reporte financiero y de sostenibilidad; incremento según el alcance de reporte y de aseguramiento de cada escenario. Gasto operativo (OPEX) separado de la inversión de RC-10. Ejemplo ilustrativo.</t>
  </si>
  <si>
    <t>Negociar el alcance y la tarifa del aseguramiento externo y automatizar la captura de los datos recurrentes.</t>
  </si>
  <si>
    <t>Debido a la reconversión del sistema térmico, la organización incurriría en costos operativos adicionales durante la transición (doble operación, pruebas, capacitación y mantenimiento de los equipos nuevos), lo que elevaría el costo de producción de esos periodos.</t>
  </si>
  <si>
    <t>Datos operativos y de producción. Costo operativo anual del sistema térmico; incremento según el alcance de reconversión de cada escenario. Gasto operativo (OPEX) separado de la inversión de RC-14. Ejemplo ilustrativo.</t>
  </si>
  <si>
    <t>Ejecución por fases con contratos de desempeño energético que limitan la doble operación.</t>
  </si>
  <si>
    <t>Estimar con ingeniería básica los meses de doble operación y el costo de pruebas por fase.</t>
  </si>
  <si>
    <t>Oportunidades climáticas – Matriz para cuantificar el impacto financiero de los riesgos climáticos</t>
  </si>
  <si>
    <t>Registre las oportunidades financieras que nacen de gestionar bien los riesgos climáticos. Su valor se presenta aparte y no se resta del impacto de la matriz. Datos de ejemplo de una empresa ficticia.</t>
  </si>
  <si>
    <t>Tipo de oportunidad</t>
  </si>
  <si>
    <t>Oportunidad identificada</t>
  </si>
  <si>
    <t>Riesgo relacionado (ID)</t>
  </si>
  <si>
    <t>Ingresos adicionales</t>
  </si>
  <si>
    <t>Ahorros y costos evitados</t>
  </si>
  <si>
    <t>Inversión requerida</t>
  </si>
  <si>
    <t>Valor neto estimado</t>
  </si>
  <si>
    <t>Modernizar los cuartos fríos e instalar variadores de velocidad para reducir el consumo de energía de refrigeración.</t>
  </si>
  <si>
    <t>RC-08</t>
  </si>
  <si>
    <t>Datos operativos y de producción. Auditoría energética interna; ahorro acumulado del horizonte. Ejemplo ilustrativo.</t>
  </si>
  <si>
    <t>Reusar el agua de proceso para disminuir la captación, el costo de tratamiento y los días de parada por restricción.</t>
  </si>
  <si>
    <t>RC-05</t>
  </si>
  <si>
    <t>Proyecciones internas. Balance hídrico de la planta y días de parada evitados en el escenario moderado. Ejemplo ilustrativo.</t>
  </si>
  <si>
    <t>Instalar autogeneración solar en las cubiertas de la planta mediante un contrato de compra de energía.</t>
  </si>
  <si>
    <t>RC-08 / RC-09</t>
  </si>
  <si>
    <t>Información de proveedores y clientes. Oferta del proveedor de energía; el contrato no exige inversión propia en equipos. Ejemplo ilustrativo.</t>
  </si>
  <si>
    <t>Lanzar una línea de conservas con huella de carbono verificada para los canales que la exigen.</t>
  </si>
  <si>
    <t>RC-17</t>
  </si>
  <si>
    <t>Proyecciones internas. Plan comercial preliminar; ventas adicionales sin validar con el mercado. Ejemplo ilustrativo.</t>
  </si>
  <si>
    <t>Ingresar a compradores de exportación que exigen requisitos climáticos a sus proveedores.</t>
  </si>
  <si>
    <t>RC-18</t>
  </si>
  <si>
    <t>Información de proveedores y clientes. Solicitudes de cotización recibidas; conversión estimada. Ejemplo ilustrativo.</t>
  </si>
  <si>
    <t>Contratar un crédito vinculado a la sostenibilidad con reducción de tasa al cumplir las metas de emisiones.</t>
  </si>
  <si>
    <t>RC-14 / RC-21</t>
  </si>
  <si>
    <t>Información de proveedores y clientes. Términos indicativos de dos bancos; ahorro de intereses del plazo del crédito. Ejemplo ilustrativo.</t>
  </si>
  <si>
    <t>Sustituir parte del vapor de calderas con bombas de calor industriales.</t>
  </si>
  <si>
    <t>RC-09 / RC-13</t>
  </si>
  <si>
    <t>Proyecciones internas. Ingeniería conceptual; el costo evitado depende del precio del carbono del escenario. Ejemplo ilustrativo.</t>
  </si>
  <si>
    <t>Elevar los equipos críticos y construir drenaje perimetral para reducir los días de parada y la prima de seguros.</t>
  </si>
  <si>
    <t>RC-01 / RC-02</t>
  </si>
  <si>
    <t>Pólizas e informes de seguros. Informe de inspección de la aseguradora y días de parada evitados en el escenario moderado. Ejemplo ilustrativo.</t>
  </si>
  <si>
    <t>Aprovechar los residuos orgánicos para producir biogás y vender subproductos.</t>
  </si>
  <si>
    <t>RC-09 / RC-16</t>
  </si>
  <si>
    <t>Proyecciones internas. Estudio de prefactibilidad; volúmenes de residuos del último año. Ejemplo ilustrativo.</t>
  </si>
  <si>
    <t>Posicionarse como proveedor preferente por desempeño climático verificado en las licitaciones privadas.</t>
  </si>
  <si>
    <t>RC-18 / RC-22</t>
  </si>
  <si>
    <t>Comparación por escenario</t>
  </si>
  <si>
    <t>Los escenarios se comparan y nunca se suman. Cada total es la suma simple de los impactos de los riesgos cuantificados: muestra exposición, no un pronóstico ni un valor presente. El rango aplica a cada riesgo el margen de su nivel de confianza.</t>
  </si>
  <si>
    <t>Riesgos cuantificados</t>
  </si>
  <si>
    <t>Impacto bruto: mínimo</t>
  </si>
  <si>
    <t>Impacto bruto estimado</t>
  </si>
  <si>
    <t>Impacto bruto: máximo</t>
  </si>
  <si>
    <t>Impacto residual</t>
  </si>
  <si>
    <t>Exposición mitigada</t>
  </si>
  <si>
    <t>Impacto bruto / EBITDA</t>
  </si>
  <si>
    <t>Lectura de un riesgo para la dirección</t>
  </si>
  <si>
    <t>Riesgo (ID)</t>
  </si>
  <si>
    <t>Supuesto de impacto</t>
  </si>
  <si>
    <t>Análisis de sensibilidad (escenario de análisis)</t>
  </si>
  <si>
    <t>Escriba en azul la variación que quiere probar en cada supuesto. La tabla recalcula el impacto e identifica qué variable explica la mayor parte del cambio. No modifica la matriz.</t>
  </si>
  <si>
    <t>Variable clave</t>
  </si>
  <si>
    <t>Método asociado</t>
  </si>
  <si>
    <t>Impacto bruto actual</t>
  </si>
  <si>
    <t>Variación a simular</t>
  </si>
  <si>
    <t>Impacto bruto simulado</t>
  </si>
  <si>
    <t>Diferencia</t>
  </si>
  <si>
    <t>Participación en la variación</t>
  </si>
  <si>
    <t>% de reducción de ingresos</t>
  </si>
  <si>
    <t>% de incremento de costos</t>
  </si>
  <si>
    <t>% de daño a los activos</t>
  </si>
  <si>
    <t>Días de interrupción</t>
  </si>
  <si>
    <t>% de deterioro de los activos</t>
  </si>
  <si>
    <t>Precio del carbono</t>
  </si>
  <si>
    <t>CAPEX requerido</t>
  </si>
  <si>
    <t>Incremento de la tasa de financiamiento</t>
  </si>
  <si>
    <t>% de desembolso en pasivos</t>
  </si>
  <si>
    <t>Total del escenario de análisis</t>
  </si>
  <si>
    <t>Efectividad de las medidas</t>
  </si>
  <si>
    <t>Cambia el impacto residual</t>
  </si>
  <si>
    <t>–</t>
  </si>
  <si>
    <t>Dashboard – Matriz para cuantificar el impacto financiero de los riesgos climáticos</t>
  </si>
  <si>
    <t>Rango del impacto bruto</t>
  </si>
  <si>
    <t>Costo de las medidas</t>
  </si>
  <si>
    <t>Riesgos registrados</t>
  </si>
  <si>
    <t>Riesgos sin cuantificar</t>
  </si>
  <si>
    <t>Alto impacto con confianza baja</t>
  </si>
  <si>
    <t>Valor neto de las oportunidades</t>
  </si>
  <si>
    <t>Riesgos sin medida de mitigación</t>
  </si>
  <si>
    <t>Estimaciones con confianza baja</t>
  </si>
  <si>
    <t>Comparación de escenarios (no se suman entre sí)</t>
  </si>
  <si>
    <t>Impacto bruto</t>
  </si>
  <si>
    <t>No mitigada (residual)</t>
  </si>
  <si>
    <t>Mitigada</t>
  </si>
  <si>
    <t>Del impacto bruto del escenario de análisis</t>
  </si>
  <si>
    <t>Gasto operativo (OPEX)</t>
  </si>
  <si>
    <t>Inversión (CAPEX)</t>
  </si>
  <si>
    <t>Ventas perdidas</t>
  </si>
  <si>
    <t>Activos (preliminar)</t>
  </si>
  <si>
    <t>Pasivos (preliminar)</t>
  </si>
  <si>
    <t>Naturaleza de la cifra</t>
  </si>
  <si>
    <t>Cada cifra conserva su naturaleza: el OPEX se paga en cada periodo, el CAPEX una sola vez en el horizonte del riesgo, el margen perdido es el efecto en el resultado y las ventas perdidas no lo son. Activos y pasivos son estimaciones preliminares de exposición, no cifras contables.</t>
  </si>
  <si>
    <t>Riesgos físicos vs. de transición</t>
  </si>
  <si>
    <t>Por horizonte temporal</t>
  </si>
  <si>
    <t>Tipo de riesgo</t>
  </si>
  <si>
    <t>N.º de riesgos</t>
  </si>
  <si>
    <t>Total físico</t>
  </si>
  <si>
    <t>Total transición</t>
  </si>
  <si>
    <t>Top 5 de riesgos por impacto financiero residual</t>
  </si>
  <si>
    <t>Puesto e ID</t>
  </si>
  <si>
    <t>Riesgo identificado</t>
  </si>
  <si>
    <t>Confianza y prioridad</t>
  </si>
  <si>
    <t>Visualizaciones (en miles de la moneda de presentación)</t>
  </si>
  <si>
    <t>Cada total es la suma simple de los impactos del escenario de análisis: muestra exposición, no un pronóstico. El escenario se cambia en la celda C6 de la Matriz de cuantificación.</t>
  </si>
  <si>
    <t>Escenarios y sensibilidad – Matriz para cuantificar el impacto financiero 
de los riesgos climáticos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</si>
</sst>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5" formatCode="dd/mm/yyyy"/>
    <numFmt numFmtId="166" formatCode="0.0%"/>
    <numFmt numFmtId="167" formatCode="0.0"/>
    <numFmt numFmtId="168" formatCode="\+0%;\-0%;0%"/>
    <numFmt numFmtId="169" formatCode="\+#,##0;\-#,##0;0"/>
    <numFmt numFmtId="170" formatCode="\+0.0%;\-0.0%;0.0%"/>
    <numFmt numFmtId="171" formatCode="#,##0.0"/>
  </numFmts>
  <fonts count="14" x14ac:knownFonts="1">
    <font>
      <sz val="11"/>
      <color theme="1"/>
      <name val="Calibri"/>
      <family val="2"/>
      <scheme val="minor"/>
    </font>
    <font>
      <sz val="12"/>
      <color rgb="FF000000"/>
      <name val="Arial"/>
    </font>
    <font>
      <b/>
      <sz val="16"/>
      <color rgb="FFFFFFFF"/>
      <name val="Arial"/>
    </font>
    <font>
      <b/>
      <sz val="12"/>
      <color rgb="FFFFFFFF"/>
      <name val="Arial"/>
    </font>
    <font>
      <b/>
      <sz val="12"/>
      <color rgb="FF000000"/>
      <name val="Arial"/>
    </font>
    <font>
      <sz val="12"/>
      <color rgb="FF0000FF"/>
      <name val="Arial"/>
    </font>
    <font>
      <b/>
      <sz val="12"/>
      <color rgb="FF9C0006"/>
      <name val="Arial"/>
    </font>
    <font>
      <b/>
      <sz val="12"/>
      <color rgb="FF7A3B00"/>
      <name val="Arial"/>
    </font>
    <font>
      <b/>
      <sz val="12"/>
      <color rgb="FF7F6000"/>
      <name val="Arial"/>
    </font>
    <font>
      <b/>
      <sz val="12"/>
      <color rgb="FF006100"/>
      <name val="Arial"/>
    </font>
    <font>
      <b/>
      <sz val="12"/>
      <color rgb="FF0000FF"/>
      <name val="Arial"/>
    </font>
    <font>
      <i/>
      <sz val="11"/>
      <color rgb="FF000000"/>
      <name val="Arial"/>
    </font>
    <font>
      <b/>
      <sz val="12"/>
      <color rgb="FF162B47"/>
      <name val="Arial"/>
    </font>
    <font>
      <b/>
      <sz val="18"/>
      <color rgb="FF162B47"/>
      <name val="Arial"/>
    </font>
  </fonts>
  <fills count="12">
    <fill>
      <patternFill patternType="none"/>
    </fill>
    <fill>
      <patternFill patternType="gray125"/>
    </fill>
    <fill>
      <patternFill patternType="solid">
        <fgColor rgb="FF162B47"/>
        <bgColor rgb="FF162B47"/>
      </patternFill>
    </fill>
    <fill>
      <patternFill patternType="solid">
        <fgColor rgb="FFF8B843"/>
        <bgColor rgb="FFF8B843"/>
      </patternFill>
    </fill>
    <fill>
      <patternFill patternType="solid">
        <fgColor rgb="FFD9D9D9"/>
        <bgColor rgb="FFD9D9D9"/>
      </patternFill>
    </fill>
    <fill>
      <patternFill patternType="solid">
        <fgColor rgb="FFFFC7CE"/>
        <bgColor rgb="FFFFC7CE"/>
      </patternFill>
    </fill>
    <fill>
      <patternFill patternType="solid">
        <fgColor rgb="FFEDF1F7"/>
        <bgColor rgb="FFEDF1F7"/>
      </patternFill>
    </fill>
    <fill>
      <patternFill patternType="solid">
        <fgColor rgb="FFFCE4D6"/>
        <bgColor rgb="FFFCE4D6"/>
      </patternFill>
    </fill>
    <fill>
      <patternFill patternType="solid">
        <fgColor rgb="FFFFF2CC"/>
        <bgColor rgb="FFFFF2CC"/>
      </patternFill>
    </fill>
    <fill>
      <patternFill patternType="solid">
        <fgColor rgb="FFE2F0D9"/>
        <bgColor rgb="FFE2F0D9"/>
      </patternFill>
    </fill>
    <fill>
      <patternFill patternType="solid">
        <fgColor rgb="FFFFFFFF"/>
        <bgColor rgb="FFFFFFFF"/>
      </patternFill>
    </fill>
    <fill>
      <patternFill patternType="solid">
        <fgColor rgb="FFDCE6F1"/>
        <bgColor rgb="FFDCE6F1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167" fontId="1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6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165" fontId="1" fillId="6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8" fontId="10" fillId="0" borderId="1" xfId="0" applyNumberFormat="1" applyFont="1" applyBorder="1" applyAlignment="1">
      <alignment horizontal="center" vertical="center" wrapText="1"/>
    </xf>
    <xf numFmtId="169" fontId="4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169" fontId="4" fillId="4" borderId="1" xfId="0" applyNumberFormat="1" applyFont="1" applyFill="1" applyBorder="1" applyAlignment="1">
      <alignment horizontal="center" vertical="center" wrapText="1"/>
    </xf>
    <xf numFmtId="170" fontId="4" fillId="4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9" fontId="4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4" fillId="11" borderId="1" xfId="0" applyFont="1" applyFill="1" applyBorder="1" applyAlignment="1">
      <alignment horizontal="center" vertical="center" wrapText="1"/>
    </xf>
    <xf numFmtId="0" fontId="0" fillId="11" borderId="1" xfId="0" applyFill="1" applyBorder="1"/>
    <xf numFmtId="0" fontId="0" fillId="0" borderId="1" xfId="0" applyBorder="1"/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3" borderId="0" xfId="0" applyFill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1" fontId="13" fillId="6" borderId="1" xfId="0" applyNumberFormat="1" applyFont="1" applyFill="1" applyBorder="1" applyAlignment="1">
      <alignment horizontal="center" vertical="center" wrapText="1"/>
    </xf>
    <xf numFmtId="9" fontId="13" fillId="6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171" fontId="13" fillId="6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indent="1"/>
    </xf>
    <xf numFmtId="0" fontId="12" fillId="8" borderId="1" xfId="0" applyFont="1" applyFill="1" applyBorder="1" applyAlignment="1">
      <alignment horizontal="left" vertical="center" wrapText="1" indent="1"/>
    </xf>
    <xf numFmtId="0" fontId="0" fillId="8" borderId="1" xfId="0" applyFill="1" applyBorder="1" applyAlignment="1">
      <alignment horizontal="left" inden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12" fillId="10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/>
    </xf>
  </cellXfs>
  <cellStyles count="1">
    <cellStyle name="Normal" xfId="0" builtinId="0"/>
  </cellStyles>
  <dxfs count="35">
    <dxf>
      <font>
        <b/>
        <color rgb="FF9C0006"/>
      </font>
      <fill>
        <patternFill patternType="solid">
          <bgColor rgb="FFFFC7CE"/>
        </patternFill>
      </fill>
    </dxf>
    <dxf>
      <font>
        <b/>
      </font>
      <fill>
        <patternFill patternType="solid">
          <bgColor rgb="FFDDEBF7"/>
        </patternFill>
      </fill>
    </dxf>
    <dxf>
      <font>
        <i/>
        <color rgb="FF7F6000"/>
      </font>
      <fill>
        <patternFill patternType="solid">
          <bgColor rgb="FFFFF2CC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7A3B00"/>
      </font>
      <fill>
        <patternFill patternType="solid">
          <bgColor rgb="FFFCE4D6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numFmt numFmtId="166" formatCode="0.0%"/>
    </dxf>
    <dxf>
      <font>
        <b/>
      </font>
      <fill>
        <patternFill patternType="solid">
          <bgColor rgb="FFDDEBF7"/>
        </patternFill>
      </fill>
    </dxf>
    <dxf>
      <font>
        <b/>
      </font>
      <fill>
        <patternFill patternType="solid">
          <bgColor rgb="FFDDEBF7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i/>
        <color rgb="FF7F6000"/>
      </font>
      <fill>
        <patternFill patternType="solid">
          <bgColor rgb="FFFFF2CC"/>
        </patternFill>
      </fill>
    </dxf>
    <dxf>
      <font>
        <color rgb="FF9C0006"/>
      </font>
      <fill>
        <patternFill patternType="solid">
          <bgColor rgb="FFF4CCCC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color rgb="FF006100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i/>
        <color rgb="FF7F6000"/>
      </font>
      <fill>
        <patternFill patternType="solid">
          <bgColor rgb="FFFFF2CC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7A3B00"/>
      </font>
      <fill>
        <patternFill patternType="solid">
          <bgColor rgb="FFFCE4D6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4CCCC"/>
        </patternFill>
      </fill>
    </dxf>
    <dxf>
      <font>
        <i/>
        <color rgb="FF7F6000"/>
      </font>
      <fill>
        <patternFill patternType="solid">
          <bgColor rgb="FFFFF2CC"/>
        </patternFill>
      </fill>
    </dxf>
    <dxf>
      <font>
        <i/>
        <color rgb="FF7F6000"/>
      </font>
      <fill>
        <patternFill patternType="solid">
          <bgColor rgb="FFFFF2CC"/>
        </patternFill>
      </fill>
    </dxf>
    <dxf>
      <fill>
        <patternFill patternType="solid">
          <bgColor rgb="FFFFF2CC"/>
        </patternFill>
      </fill>
    </dxf>
    <dxf>
      <numFmt numFmtId="166" formatCode="0.0%"/>
    </dxf>
    <dxf>
      <font>
        <color rgb="FF9C0006"/>
      </font>
      <fill>
        <patternFill patternType="solid">
          <bgColor rgb="FFF4CCCC"/>
        </patternFill>
      </fill>
    </dxf>
    <dxf>
      <font>
        <color rgb="FF9C0006"/>
      </font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ont>
        <color rgb="FF9C0006"/>
      </font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ont>
        <color rgb="FF9C0006"/>
      </font>
      <fill>
        <patternFill patternType="solid">
          <bgColor rgb="FFF4CCCC"/>
        </patternFill>
      </fill>
    </dxf>
  </dxfs>
  <tableStyles count="0" defaultTableStyle="TableStyleMedium9" defaultPivotStyle="PivotStyleLight16"/>
  <colors>
    <mruColors>
      <color rgb="FFF8B8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cap="none" spc="0" normalizeH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s-CO"/>
              <a:t>Impacto bruto y residual por tipo de riesgo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cap="none" spc="0" normalizeH="0" baseline="0">
              <a:solidFill>
                <a:sysClr val="windowText" lastClr="000000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Dashboard!$C$26</c:f>
              <c:strCache>
                <c:ptCount val="1"/>
                <c:pt idx="0">
                  <c:v>Impacto bruto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1"/>
          <c:cat>
            <c:strRef>
              <c:f>Dashboard!$B$27:$B$32</c:f>
              <c:strCache>
                <c:ptCount val="6"/>
                <c:pt idx="0">
                  <c:v>Físico agudo</c:v>
                </c:pt>
                <c:pt idx="1">
                  <c:v>Físico crónico</c:v>
                </c:pt>
                <c:pt idx="2">
                  <c:v>Transición: política y legal</c:v>
                </c:pt>
                <c:pt idx="3">
                  <c:v>Transición: tecnología</c:v>
                </c:pt>
                <c:pt idx="4">
                  <c:v>Transición: mercado</c:v>
                </c:pt>
                <c:pt idx="5">
                  <c:v>Transición: reputación</c:v>
                </c:pt>
              </c:strCache>
            </c:strRef>
          </c:cat>
          <c:val>
            <c:numRef>
              <c:f>Dashboard!$C$27:$C$32</c:f>
              <c:numCache>
                <c:formatCode>#,##0</c:formatCode>
                <c:ptCount val="6"/>
                <c:pt idx="0">
                  <c:v>3551000</c:v>
                </c:pt>
                <c:pt idx="1">
                  <c:v>5236000</c:v>
                </c:pt>
                <c:pt idx="2">
                  <c:v>3210000</c:v>
                </c:pt>
                <c:pt idx="3">
                  <c:v>9570000</c:v>
                </c:pt>
                <c:pt idx="4">
                  <c:v>5500000</c:v>
                </c:pt>
                <c:pt idx="5">
                  <c:v>1295000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B5-4D72-8FFB-4B5E7C6240D3}"/>
            </c:ext>
          </c:extLst>
        </c:ser>
        <c:ser>
          <c:idx val="1"/>
          <c:order val="1"/>
          <c:tx>
            <c:strRef>
              <c:f>Dashboard!$D$26</c:f>
              <c:strCache>
                <c:ptCount val="1"/>
                <c:pt idx="0">
                  <c:v>Impacto residual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1"/>
          <c:cat>
            <c:strRef>
              <c:f>Dashboard!$B$27:$B$32</c:f>
              <c:strCache>
                <c:ptCount val="6"/>
                <c:pt idx="0">
                  <c:v>Físico agudo</c:v>
                </c:pt>
                <c:pt idx="1">
                  <c:v>Físico crónico</c:v>
                </c:pt>
                <c:pt idx="2">
                  <c:v>Transición: política y legal</c:v>
                </c:pt>
                <c:pt idx="3">
                  <c:v>Transición: tecnología</c:v>
                </c:pt>
                <c:pt idx="4">
                  <c:v>Transición: mercado</c:v>
                </c:pt>
                <c:pt idx="5">
                  <c:v>Transición: reputación</c:v>
                </c:pt>
              </c:strCache>
            </c:strRef>
          </c:cat>
          <c:val>
            <c:numRef>
              <c:f>Dashboard!$D$27:$D$32</c:f>
              <c:numCache>
                <c:formatCode>#,##0</c:formatCode>
                <c:ptCount val="6"/>
                <c:pt idx="0">
                  <c:v>1711550</c:v>
                </c:pt>
                <c:pt idx="1">
                  <c:v>4246800</c:v>
                </c:pt>
                <c:pt idx="2">
                  <c:v>2632500</c:v>
                </c:pt>
                <c:pt idx="3">
                  <c:v>8317000</c:v>
                </c:pt>
                <c:pt idx="4">
                  <c:v>3718000</c:v>
                </c:pt>
                <c:pt idx="5">
                  <c:v>779750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B5-4D72-8FFB-4B5E7C6240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10"/>
        <c:axId val="100"/>
      </c:barChart>
      <c:catAx>
        <c:axId val="1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cap="none" spc="0" normalizeH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,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10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1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cap="none" spc="0" normalizeH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s-CO"/>
              <a:t>Exposición mitigada y no mitigada por escenario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cap="none" spc="0" normalizeH="0" baseline="0">
              <a:solidFill>
                <a:sysClr val="windowText" lastClr="000000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Dashboard!$D$17</c:f>
              <c:strCache>
                <c:ptCount val="1"/>
                <c:pt idx="0">
                  <c:v>No mitigada (residual)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1"/>
          <c:cat>
            <c:strRef>
              <c:f>Dashboard!$B$18:$B$20</c:f>
              <c:strCache>
                <c:ptCount val="3"/>
                <c:pt idx="0">
                  <c:v>Base</c:v>
                </c:pt>
                <c:pt idx="1">
                  <c:v>Moderado</c:v>
                </c:pt>
                <c:pt idx="2">
                  <c:v>Severo</c:v>
                </c:pt>
              </c:strCache>
            </c:strRef>
          </c:cat>
          <c:val>
            <c:numRef>
              <c:f>Dashboard!$D$18:$D$20</c:f>
              <c:numCache>
                <c:formatCode>#,##0</c:formatCode>
                <c:ptCount val="3"/>
                <c:pt idx="0">
                  <c:v>7606150</c:v>
                </c:pt>
                <c:pt idx="1">
                  <c:v>21405600</c:v>
                </c:pt>
                <c:pt idx="2">
                  <c:v>47051680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98-4D57-B496-614D8F1AD71E}"/>
            </c:ext>
          </c:extLst>
        </c:ser>
        <c:ser>
          <c:idx val="1"/>
          <c:order val="1"/>
          <c:tx>
            <c:strRef>
              <c:f>Dashboard!$E$17</c:f>
              <c:strCache>
                <c:ptCount val="1"/>
                <c:pt idx="0">
                  <c:v>Mitigada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1"/>
          <c:cat>
            <c:strRef>
              <c:f>Dashboard!$B$18:$B$20</c:f>
              <c:strCache>
                <c:ptCount val="3"/>
                <c:pt idx="0">
                  <c:v>Base</c:v>
                </c:pt>
                <c:pt idx="1">
                  <c:v>Moderado</c:v>
                </c:pt>
                <c:pt idx="2">
                  <c:v>Severo</c:v>
                </c:pt>
              </c:strCache>
            </c:strRef>
          </c:cat>
          <c:val>
            <c:numRef>
              <c:f>Dashboard!$E$18:$E$20</c:f>
              <c:numCache>
                <c:formatCode>#,##0</c:formatCode>
                <c:ptCount val="3"/>
                <c:pt idx="0">
                  <c:v>2375850</c:v>
                </c:pt>
                <c:pt idx="1">
                  <c:v>6956400</c:v>
                </c:pt>
                <c:pt idx="2">
                  <c:v>16288620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98-4D57-B496-614D8F1AD7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cap="none" spc="0" normalizeH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,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10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1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03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38100</xdr:rowOff>
    </xdr:from>
    <xdr:to>
      <xdr:col>1</xdr:col>
      <xdr:colOff>1415472</xdr:colOff>
      <xdr:row>2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D3ECC2-C557-40D2-BF4D-213A6E323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228600"/>
          <a:ext cx="1444047" cy="295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19050</xdr:rowOff>
    </xdr:from>
    <xdr:to>
      <xdr:col>1</xdr:col>
      <xdr:colOff>1405947</xdr:colOff>
      <xdr:row>2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5445116-D42D-4F80-82E4-442FF9EF5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209550"/>
          <a:ext cx="1444047" cy="295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1</xdr:row>
      <xdr:rowOff>11906</xdr:rowOff>
    </xdr:from>
    <xdr:to>
      <xdr:col>1</xdr:col>
      <xdr:colOff>884453</xdr:colOff>
      <xdr:row>2</xdr:row>
      <xdr:rowOff>116681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CB7B6ED-D935-48B3-98BD-330FE5270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94" y="202406"/>
          <a:ext cx="1444047" cy="295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176213</xdr:colOff>
      <xdr:row>1</xdr:row>
      <xdr:rowOff>26194</xdr:rowOff>
    </xdr:from>
    <xdr:to>
      <xdr:col>1</xdr:col>
      <xdr:colOff>882072</xdr:colOff>
      <xdr:row>2</xdr:row>
      <xdr:rowOff>130969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19AD8A-7C7F-437C-9B9A-E7B3E1F58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3" y="216694"/>
          <a:ext cx="1439284" cy="2952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0</xdr:rowOff>
    </xdr:from>
    <xdr:to>
      <xdr:col>1</xdr:col>
      <xdr:colOff>1386897</xdr:colOff>
      <xdr:row>2</xdr:row>
      <xdr:rowOff>104775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5C49E7-59E6-4616-BCF3-A9D1D6154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90500"/>
          <a:ext cx="1444047" cy="295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447675</xdr:colOff>
      <xdr:row>45</xdr:row>
      <xdr:rowOff>95249</xdr:rowOff>
    </xdr:from>
    <xdr:ext cx="10842994" cy="42386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2</xdr:col>
      <xdr:colOff>47624</xdr:colOff>
      <xdr:row>68</xdr:row>
      <xdr:rowOff>76199</xdr:rowOff>
    </xdr:from>
    <xdr:ext cx="7141535" cy="3838575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twoCellAnchor editAs="oneCell">
    <xdr:from>
      <xdr:col>0</xdr:col>
      <xdr:colOff>171450</xdr:colOff>
      <xdr:row>1</xdr:row>
      <xdr:rowOff>28575</xdr:rowOff>
    </xdr:from>
    <xdr:to>
      <xdr:col>1</xdr:col>
      <xdr:colOff>1415472</xdr:colOff>
      <xdr:row>2</xdr:row>
      <xdr:rowOff>133350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63EBA48-643F-44F4-8DA7-31CD6345A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19075"/>
          <a:ext cx="1444047" cy="29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showGridLines="0" tabSelected="1" workbookViewId="0">
      <selection activeCell="B8" sqref="B8:F8"/>
    </sheetView>
  </sheetViews>
  <sheetFormatPr baseColWidth="10" defaultColWidth="0" defaultRowHeight="15" x14ac:dyDescent="0.25"/>
  <cols>
    <col min="1" max="1" width="2.85546875" customWidth="1"/>
    <col min="2" max="6" width="42.140625" customWidth="1"/>
    <col min="7" max="7" width="2.85546875" customWidth="1"/>
    <col min="8" max="16384" width="9.140625" hidden="1"/>
  </cols>
  <sheetData>
    <row r="1" spans="1:7" ht="15" customHeight="1" x14ac:dyDescent="0.25">
      <c r="A1" s="41" t="s">
        <v>0</v>
      </c>
      <c r="B1" s="42"/>
      <c r="C1" s="42"/>
      <c r="D1" s="42"/>
      <c r="E1" s="42"/>
      <c r="F1" s="42"/>
      <c r="G1" s="42"/>
    </row>
    <row r="2" spans="1:7" ht="15" customHeight="1" x14ac:dyDescent="0.25">
      <c r="A2" s="42"/>
      <c r="B2" s="42"/>
      <c r="C2" s="42"/>
      <c r="D2" s="42"/>
      <c r="E2" s="42"/>
      <c r="F2" s="42"/>
      <c r="G2" s="42"/>
    </row>
    <row r="3" spans="1:7" ht="15" customHeight="1" x14ac:dyDescent="0.25">
      <c r="A3" s="42"/>
      <c r="B3" s="42"/>
      <c r="C3" s="42"/>
      <c r="D3" s="42"/>
      <c r="E3" s="42"/>
      <c r="F3" s="42"/>
      <c r="G3" s="42"/>
    </row>
    <row r="4" spans="1:7" ht="15" customHeight="1" x14ac:dyDescent="0.25">
      <c r="A4" s="42"/>
      <c r="B4" s="42"/>
      <c r="C4" s="42"/>
      <c r="D4" s="42"/>
      <c r="E4" s="42"/>
      <c r="F4" s="42"/>
      <c r="G4" s="42"/>
    </row>
    <row r="5" spans="1:7" ht="3" customHeight="1" x14ac:dyDescent="0.25">
      <c r="A5" s="45"/>
      <c r="B5" s="45"/>
      <c r="C5" s="45"/>
      <c r="D5" s="45"/>
      <c r="E5" s="45"/>
      <c r="F5" s="45"/>
      <c r="G5" s="45"/>
    </row>
    <row r="7" spans="1:7" ht="15.75" customHeight="1" x14ac:dyDescent="0.25">
      <c r="B7" s="36" t="s">
        <v>1</v>
      </c>
      <c r="C7" s="37"/>
      <c r="D7" s="37"/>
      <c r="E7" s="37"/>
      <c r="F7" s="37"/>
    </row>
    <row r="8" spans="1:7" ht="93" customHeight="1" x14ac:dyDescent="0.25">
      <c r="B8" s="58" t="s">
        <v>2</v>
      </c>
      <c r="C8" s="59"/>
      <c r="D8" s="59"/>
      <c r="E8" s="59"/>
      <c r="F8" s="59"/>
    </row>
    <row r="9" spans="1:7" ht="15.75" customHeight="1" x14ac:dyDescent="0.25">
      <c r="B9" s="36" t="s">
        <v>3</v>
      </c>
      <c r="C9" s="37"/>
      <c r="D9" s="37"/>
      <c r="E9" s="37"/>
      <c r="F9" s="37"/>
    </row>
    <row r="10" spans="1:7" ht="43.5" customHeight="1" x14ac:dyDescent="0.25">
      <c r="B10" s="58" t="s">
        <v>4</v>
      </c>
      <c r="C10" s="59"/>
      <c r="D10" s="59"/>
      <c r="E10" s="59"/>
      <c r="F10" s="59"/>
    </row>
    <row r="11" spans="1:7" ht="15.75" customHeight="1" x14ac:dyDescent="0.25">
      <c r="B11" s="36" t="s">
        <v>5</v>
      </c>
      <c r="C11" s="37"/>
      <c r="D11" s="37"/>
      <c r="E11" s="37"/>
      <c r="F11" s="37"/>
    </row>
    <row r="12" spans="1:7" ht="92.25" customHeight="1" x14ac:dyDescent="0.25">
      <c r="B12" s="58" t="s">
        <v>6</v>
      </c>
      <c r="C12" s="59"/>
      <c r="D12" s="59"/>
      <c r="E12" s="59"/>
      <c r="F12" s="59"/>
    </row>
    <row r="13" spans="1:7" ht="15.75" customHeight="1" x14ac:dyDescent="0.25">
      <c r="B13" s="36" t="s">
        <v>7</v>
      </c>
      <c r="C13" s="37"/>
      <c r="D13" s="37"/>
      <c r="E13" s="37"/>
      <c r="F13" s="37"/>
    </row>
    <row r="14" spans="1:7" ht="43.5" customHeight="1" x14ac:dyDescent="0.25">
      <c r="B14" s="58" t="s">
        <v>8</v>
      </c>
      <c r="C14" s="59"/>
      <c r="D14" s="59"/>
      <c r="E14" s="59"/>
      <c r="F14" s="59"/>
    </row>
    <row r="15" spans="1:7" ht="33" customHeight="1" x14ac:dyDescent="0.25">
      <c r="B15" s="60" t="s">
        <v>9</v>
      </c>
      <c r="C15" s="61"/>
      <c r="D15" s="61"/>
      <c r="E15" s="61"/>
      <c r="F15" s="61"/>
    </row>
    <row r="16" spans="1:7" ht="18" customHeight="1" x14ac:dyDescent="0.25">
      <c r="B16" s="43" t="s">
        <v>10</v>
      </c>
      <c r="C16" s="43" t="s">
        <v>11</v>
      </c>
      <c r="D16" s="44"/>
      <c r="E16" s="43" t="s">
        <v>12</v>
      </c>
      <c r="F16" s="44"/>
    </row>
    <row r="17" spans="2:6" ht="88.7" customHeight="1" x14ac:dyDescent="0.25">
      <c r="B17" s="3" t="s">
        <v>13</v>
      </c>
      <c r="C17" s="58" t="s">
        <v>14</v>
      </c>
      <c r="D17" s="59"/>
      <c r="E17" s="58" t="s">
        <v>15</v>
      </c>
      <c r="F17" s="59"/>
    </row>
    <row r="18" spans="2:6" ht="120.2" customHeight="1" x14ac:dyDescent="0.25">
      <c r="B18" s="3" t="s">
        <v>16</v>
      </c>
      <c r="C18" s="58" t="s">
        <v>17</v>
      </c>
      <c r="D18" s="59"/>
      <c r="E18" s="58" t="s">
        <v>18</v>
      </c>
      <c r="F18" s="59"/>
    </row>
    <row r="19" spans="2:6" ht="72.95" customHeight="1" x14ac:dyDescent="0.25">
      <c r="B19" s="3" t="s">
        <v>19</v>
      </c>
      <c r="C19" s="58" t="s">
        <v>20</v>
      </c>
      <c r="D19" s="59"/>
      <c r="E19" s="58" t="s">
        <v>21</v>
      </c>
      <c r="F19" s="59"/>
    </row>
    <row r="20" spans="2:6" ht="88.7" customHeight="1" x14ac:dyDescent="0.25">
      <c r="B20" s="3" t="s">
        <v>22</v>
      </c>
      <c r="C20" s="58" t="s">
        <v>23</v>
      </c>
      <c r="D20" s="59"/>
      <c r="E20" s="58" t="s">
        <v>24</v>
      </c>
      <c r="F20" s="59"/>
    </row>
    <row r="21" spans="2:6" ht="57.2" customHeight="1" x14ac:dyDescent="0.25">
      <c r="B21" s="3" t="s">
        <v>25</v>
      </c>
      <c r="C21" s="58" t="s">
        <v>26</v>
      </c>
      <c r="D21" s="59"/>
      <c r="E21" s="58" t="s">
        <v>27</v>
      </c>
      <c r="F21" s="59"/>
    </row>
    <row r="22" spans="2:6" ht="15.75" customHeight="1" x14ac:dyDescent="0.25">
      <c r="B22" s="36" t="s">
        <v>28</v>
      </c>
      <c r="C22" s="37"/>
      <c r="D22" s="37"/>
      <c r="E22" s="37"/>
      <c r="F22" s="37"/>
    </row>
    <row r="23" spans="2:6" ht="78.75" customHeight="1" x14ac:dyDescent="0.25">
      <c r="B23" s="58" t="s">
        <v>29</v>
      </c>
      <c r="C23" s="59"/>
      <c r="D23" s="59"/>
      <c r="E23" s="59"/>
      <c r="F23" s="59"/>
    </row>
    <row r="25" spans="2:6" ht="31.5" customHeight="1" x14ac:dyDescent="0.25">
      <c r="B25" s="38" t="s">
        <v>30</v>
      </c>
      <c r="C25" s="39"/>
      <c r="D25" s="39"/>
      <c r="E25" s="39"/>
      <c r="F25" s="39"/>
    </row>
  </sheetData>
  <mergeCells count="27">
    <mergeCell ref="A5:G5"/>
    <mergeCell ref="C21:D21"/>
    <mergeCell ref="B10:F10"/>
    <mergeCell ref="C17:D17"/>
    <mergeCell ref="B9:F9"/>
    <mergeCell ref="E16:F16"/>
    <mergeCell ref="E21:F21"/>
    <mergeCell ref="B15:F15"/>
    <mergeCell ref="C19:D19"/>
    <mergeCell ref="C18:D18"/>
    <mergeCell ref="E18:F18"/>
    <mergeCell ref="B7:F7"/>
    <mergeCell ref="B25:F25"/>
    <mergeCell ref="B22:F22"/>
    <mergeCell ref="E17:F17"/>
    <mergeCell ref="A1:G4"/>
    <mergeCell ref="C20:D20"/>
    <mergeCell ref="B12:F12"/>
    <mergeCell ref="E20:F20"/>
    <mergeCell ref="C16:D16"/>
    <mergeCell ref="B11:F11"/>
    <mergeCell ref="E19:F19"/>
    <mergeCell ref="B16"/>
    <mergeCell ref="B23:F23"/>
    <mergeCell ref="B14:F14"/>
    <mergeCell ref="B8:F8"/>
    <mergeCell ref="B13:F13"/>
  </mergeCells>
  <pageMargins left="0.4" right="0.4" top="0.5" bottom="0.5" header="0.5" footer="0.5"/>
  <pageSetup paperSize="9"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93"/>
  <sheetViews>
    <sheetView showGridLines="0" workbookViewId="0">
      <selection activeCell="B61" sqref="B61:I61"/>
    </sheetView>
  </sheetViews>
  <sheetFormatPr baseColWidth="10" defaultColWidth="0" defaultRowHeight="15" x14ac:dyDescent="0.25"/>
  <cols>
    <col min="1" max="1" width="3" style="63" customWidth="1"/>
    <col min="2" max="2" width="34" style="63" customWidth="1"/>
    <col min="3" max="3" width="32.5703125" style="63" customWidth="1"/>
    <col min="4" max="4" width="18" style="63" customWidth="1"/>
    <col min="5" max="5" width="26" style="63" bestFit="1" customWidth="1"/>
    <col min="6" max="6" width="30" style="63" customWidth="1"/>
    <col min="7" max="7" width="24" style="63" customWidth="1"/>
    <col min="8" max="9" width="17" style="63" customWidth="1"/>
    <col min="10" max="10" width="3" style="63" customWidth="1"/>
    <col min="11" max="16384" width="9.140625" style="63" hidden="1"/>
  </cols>
  <sheetData>
    <row r="1" spans="1:10" ht="15" customHeight="1" x14ac:dyDescent="0.25">
      <c r="A1" s="41" t="s">
        <v>31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15" customHeight="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0" ht="15" customHeight="1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</row>
    <row r="4" spans="1:10" ht="15" customHeight="1" x14ac:dyDescent="0.25">
      <c r="A4" s="62"/>
      <c r="B4" s="62"/>
      <c r="C4" s="62"/>
      <c r="D4" s="62"/>
      <c r="E4" s="62"/>
      <c r="F4" s="62"/>
      <c r="G4" s="62"/>
      <c r="H4" s="62"/>
      <c r="I4" s="62"/>
      <c r="J4" s="62"/>
    </row>
    <row r="5" spans="1:10" ht="3" customHeight="1" x14ac:dyDescent="0.25">
      <c r="A5" s="64"/>
      <c r="B5" s="64"/>
      <c r="C5" s="64"/>
      <c r="D5" s="64"/>
      <c r="E5" s="64"/>
      <c r="F5" s="64"/>
      <c r="G5" s="64"/>
      <c r="H5" s="64"/>
      <c r="I5" s="64"/>
      <c r="J5" s="64"/>
    </row>
    <row r="7" spans="1:10" ht="37.5" customHeight="1" x14ac:dyDescent="0.25">
      <c r="B7" s="46" t="s">
        <v>32</v>
      </c>
      <c r="C7" s="65"/>
      <c r="D7" s="65"/>
      <c r="E7" s="65"/>
      <c r="F7" s="65"/>
      <c r="G7" s="65"/>
      <c r="H7" s="65"/>
      <c r="I7" s="65"/>
    </row>
    <row r="8" spans="1:10" ht="15.75" customHeight="1" x14ac:dyDescent="0.25">
      <c r="B8" s="36" t="s">
        <v>33</v>
      </c>
      <c r="C8" s="66"/>
      <c r="D8" s="66"/>
      <c r="E8" s="66"/>
      <c r="F8" s="66"/>
      <c r="G8" s="66"/>
      <c r="H8" s="66"/>
      <c r="I8" s="66"/>
    </row>
    <row r="9" spans="1:10" ht="18" customHeight="1" x14ac:dyDescent="0.25">
      <c r="B9" s="2" t="s">
        <v>34</v>
      </c>
      <c r="C9" s="2" t="s">
        <v>35</v>
      </c>
      <c r="D9" s="43" t="s">
        <v>36</v>
      </c>
      <c r="E9" s="67"/>
      <c r="F9" s="67"/>
      <c r="G9" s="67"/>
      <c r="H9" s="67"/>
      <c r="I9" s="67"/>
    </row>
    <row r="10" spans="1:10" ht="48" customHeight="1" x14ac:dyDescent="0.25">
      <c r="B10" s="3" t="s">
        <v>37</v>
      </c>
      <c r="C10" s="4" t="s">
        <v>38</v>
      </c>
      <c r="D10" s="46" t="s">
        <v>39</v>
      </c>
      <c r="E10" s="65"/>
      <c r="F10" s="65"/>
      <c r="G10" s="65"/>
      <c r="H10" s="65"/>
      <c r="I10" s="65"/>
    </row>
    <row r="11" spans="1:10" ht="38.25" customHeight="1" x14ac:dyDescent="0.25">
      <c r="B11" s="3" t="s">
        <v>40</v>
      </c>
      <c r="C11" s="5">
        <v>46295</v>
      </c>
      <c r="D11" s="46" t="s">
        <v>41</v>
      </c>
      <c r="E11" s="65"/>
      <c r="F11" s="65"/>
      <c r="G11" s="65"/>
      <c r="H11" s="65"/>
      <c r="I11" s="65"/>
    </row>
    <row r="12" spans="1:10" ht="19.7" customHeight="1" x14ac:dyDescent="0.25">
      <c r="B12" s="3" t="s">
        <v>42</v>
      </c>
      <c r="C12" s="4" t="s">
        <v>43</v>
      </c>
      <c r="D12" s="46" t="s">
        <v>44</v>
      </c>
      <c r="E12" s="65"/>
      <c r="F12" s="65"/>
      <c r="G12" s="65"/>
      <c r="H12" s="65"/>
      <c r="I12" s="65"/>
    </row>
    <row r="13" spans="1:10" ht="19.7" customHeight="1" x14ac:dyDescent="0.25">
      <c r="B13" s="3" t="s">
        <v>45</v>
      </c>
      <c r="C13" s="4" t="s">
        <v>46</v>
      </c>
      <c r="D13" s="46" t="s">
        <v>47</v>
      </c>
      <c r="E13" s="65"/>
      <c r="F13" s="65"/>
      <c r="G13" s="65"/>
      <c r="H13" s="65"/>
      <c r="I13" s="65"/>
    </row>
    <row r="14" spans="1:10" ht="19.7" customHeight="1" x14ac:dyDescent="0.25">
      <c r="B14" s="3" t="s">
        <v>48</v>
      </c>
      <c r="C14" s="6">
        <v>1000</v>
      </c>
      <c r="D14" s="46" t="s">
        <v>49</v>
      </c>
      <c r="E14" s="65"/>
      <c r="F14" s="65"/>
      <c r="G14" s="65"/>
      <c r="H14" s="65"/>
      <c r="I14" s="65"/>
    </row>
    <row r="15" spans="1:10" ht="19.7" customHeight="1" x14ac:dyDescent="0.25">
      <c r="B15" s="3" t="s">
        <v>50</v>
      </c>
      <c r="C15" s="6">
        <v>25000000</v>
      </c>
      <c r="D15" s="46" t="s">
        <v>51</v>
      </c>
      <c r="E15" s="65"/>
      <c r="F15" s="65"/>
      <c r="G15" s="65"/>
      <c r="H15" s="65"/>
      <c r="I15" s="65"/>
    </row>
    <row r="16" spans="1:10" ht="19.7" customHeight="1" x14ac:dyDescent="0.25">
      <c r="B16" s="3" t="s">
        <v>52</v>
      </c>
      <c r="C16" s="6">
        <v>12000000</v>
      </c>
      <c r="D16" s="46" t="s">
        <v>53</v>
      </c>
      <c r="E16" s="65"/>
      <c r="F16" s="65"/>
      <c r="G16" s="65"/>
      <c r="H16" s="65"/>
      <c r="I16" s="65"/>
    </row>
    <row r="17" spans="2:9" ht="19.7" customHeight="1" x14ac:dyDescent="0.25">
      <c r="B17" s="3" t="s">
        <v>54</v>
      </c>
      <c r="C17" s="6">
        <v>57000000</v>
      </c>
      <c r="D17" s="46" t="s">
        <v>55</v>
      </c>
      <c r="E17" s="65"/>
      <c r="F17" s="65"/>
      <c r="G17" s="65"/>
      <c r="H17" s="65"/>
      <c r="I17" s="65"/>
    </row>
    <row r="18" spans="2:9" ht="19.7" customHeight="1" x14ac:dyDescent="0.25">
      <c r="B18" s="3" t="s">
        <v>56</v>
      </c>
      <c r="C18" s="6">
        <v>9000000</v>
      </c>
      <c r="D18" s="46" t="s">
        <v>55</v>
      </c>
      <c r="E18" s="65"/>
      <c r="F18" s="65"/>
      <c r="G18" s="65"/>
      <c r="H18" s="65"/>
      <c r="I18" s="65"/>
    </row>
    <row r="19" spans="2:9" ht="32.25" customHeight="1" x14ac:dyDescent="0.25">
      <c r="B19" s="3" t="s">
        <v>57</v>
      </c>
      <c r="C19" s="4" t="s">
        <v>52</v>
      </c>
      <c r="D19" s="46" t="s">
        <v>58</v>
      </c>
      <c r="E19" s="65"/>
      <c r="F19" s="65"/>
      <c r="G19" s="65"/>
      <c r="H19" s="65"/>
      <c r="I19" s="65"/>
    </row>
    <row r="21" spans="2:9" ht="15.75" customHeight="1" x14ac:dyDescent="0.25">
      <c r="B21" s="36" t="s">
        <v>59</v>
      </c>
      <c r="C21" s="66"/>
      <c r="D21" s="66"/>
      <c r="E21" s="66"/>
      <c r="F21" s="66"/>
      <c r="G21" s="66"/>
      <c r="H21" s="66"/>
      <c r="I21" s="66"/>
    </row>
    <row r="22" spans="2:9" ht="32.1" customHeight="1" x14ac:dyDescent="0.25">
      <c r="B22" s="2" t="s">
        <v>60</v>
      </c>
      <c r="C22" s="2" t="s">
        <v>61</v>
      </c>
      <c r="D22" s="2" t="s">
        <v>62</v>
      </c>
      <c r="E22" s="2" t="s">
        <v>63</v>
      </c>
      <c r="F22" s="2" t="s">
        <v>64</v>
      </c>
      <c r="G22" s="43" t="s">
        <v>65</v>
      </c>
      <c r="H22" s="67"/>
      <c r="I22" s="67"/>
    </row>
    <row r="23" spans="2:9" ht="48" customHeight="1" x14ac:dyDescent="0.25">
      <c r="B23" s="7" t="s">
        <v>66</v>
      </c>
      <c r="C23" s="8">
        <v>0.08</v>
      </c>
      <c r="D23" s="6">
        <v>0</v>
      </c>
      <c r="E23" s="9">
        <f>IF(BaseMaterialidad="Valor monetario absoluto",D23,C23*IFERROR(INDEX($C$15:$C$18,MATCH(BaseMaterialidad,$B$15:$B$18,0)),0))</f>
        <v>960000</v>
      </c>
      <c r="F23" s="10">
        <v>3</v>
      </c>
      <c r="G23" s="46" t="s">
        <v>67</v>
      </c>
      <c r="H23" s="65"/>
      <c r="I23" s="65"/>
    </row>
    <row r="24" spans="2:9" ht="48" customHeight="1" x14ac:dyDescent="0.25">
      <c r="B24" s="11" t="s">
        <v>68</v>
      </c>
      <c r="C24" s="8">
        <v>0.04</v>
      </c>
      <c r="D24" s="6">
        <v>0</v>
      </c>
      <c r="E24" s="9">
        <f>IF(BaseMaterialidad="Valor monetario absoluto",D24,C24*IFERROR(INDEX($C$15:$C$18,MATCH(BaseMaterialidad,$B$15:$B$18,0)),0))</f>
        <v>480000</v>
      </c>
      <c r="F24" s="10">
        <v>6</v>
      </c>
      <c r="G24" s="46" t="s">
        <v>69</v>
      </c>
      <c r="H24" s="65"/>
      <c r="I24" s="65"/>
    </row>
    <row r="25" spans="2:9" ht="48" customHeight="1" x14ac:dyDescent="0.25">
      <c r="B25" s="12" t="s">
        <v>70</v>
      </c>
      <c r="C25" s="8">
        <v>0.01</v>
      </c>
      <c r="D25" s="6">
        <v>0</v>
      </c>
      <c r="E25" s="9">
        <f>IF(BaseMaterialidad="Valor monetario absoluto",D25,C25*IFERROR(INDEX($C$15:$C$18,MATCH(BaseMaterialidad,$B$15:$B$18,0)),0))</f>
        <v>120000</v>
      </c>
      <c r="F25" s="10">
        <v>12</v>
      </c>
      <c r="G25" s="46" t="s">
        <v>71</v>
      </c>
      <c r="H25" s="65"/>
      <c r="I25" s="65"/>
    </row>
    <row r="26" spans="2:9" ht="48" customHeight="1" x14ac:dyDescent="0.25">
      <c r="B26" s="13" t="s">
        <v>72</v>
      </c>
      <c r="C26" s="8">
        <v>0</v>
      </c>
      <c r="D26" s="6">
        <v>0</v>
      </c>
      <c r="E26" s="9">
        <f>IF(BaseMaterialidad="Valor monetario absoluto",D26,C26*IFERROR(INDEX($C$15:$C$18,MATCH(BaseMaterialidad,$B$15:$B$18,0)),0))</f>
        <v>0</v>
      </c>
      <c r="F26" s="10">
        <v>12</v>
      </c>
      <c r="G26" s="46" t="s">
        <v>73</v>
      </c>
      <c r="H26" s="65"/>
      <c r="I26" s="65"/>
    </row>
    <row r="27" spans="2:9" ht="51.75" customHeight="1" x14ac:dyDescent="0.25">
      <c r="B27" s="46" t="s">
        <v>74</v>
      </c>
      <c r="C27" s="65"/>
      <c r="D27" s="65"/>
      <c r="E27" s="65"/>
      <c r="F27" s="65"/>
      <c r="G27" s="65"/>
      <c r="H27" s="65"/>
      <c r="I27" s="65"/>
    </row>
    <row r="29" spans="2:9" ht="15.75" customHeight="1" x14ac:dyDescent="0.25">
      <c r="B29" s="36" t="s">
        <v>75</v>
      </c>
      <c r="C29" s="66"/>
      <c r="D29" s="66"/>
      <c r="E29" s="66"/>
      <c r="F29" s="66"/>
      <c r="G29" s="66"/>
      <c r="H29" s="66"/>
      <c r="I29" s="66"/>
    </row>
    <row r="30" spans="2:9" ht="18" customHeight="1" x14ac:dyDescent="0.25">
      <c r="B30" s="2" t="s">
        <v>76</v>
      </c>
      <c r="C30" s="2" t="s">
        <v>77</v>
      </c>
      <c r="D30" s="2" t="s">
        <v>78</v>
      </c>
      <c r="E30" s="43" t="s">
        <v>79</v>
      </c>
      <c r="F30" s="67"/>
      <c r="G30" s="67"/>
      <c r="H30" s="67"/>
      <c r="I30" s="67"/>
    </row>
    <row r="31" spans="2:9" ht="18" customHeight="1" x14ac:dyDescent="0.25">
      <c r="B31" s="3" t="s">
        <v>80</v>
      </c>
      <c r="C31" s="4">
        <v>0</v>
      </c>
      <c r="D31" s="4">
        <v>3</v>
      </c>
      <c r="E31" s="46" t="s">
        <v>81</v>
      </c>
      <c r="F31" s="65"/>
      <c r="G31" s="65"/>
      <c r="H31" s="65"/>
      <c r="I31" s="65"/>
    </row>
    <row r="32" spans="2:9" ht="18" customHeight="1" x14ac:dyDescent="0.25">
      <c r="B32" s="3" t="s">
        <v>82</v>
      </c>
      <c r="C32" s="4">
        <v>3</v>
      </c>
      <c r="D32" s="4">
        <v>10</v>
      </c>
      <c r="E32" s="46" t="s">
        <v>83</v>
      </c>
      <c r="F32" s="65"/>
      <c r="G32" s="65"/>
      <c r="H32" s="65"/>
      <c r="I32" s="65"/>
    </row>
    <row r="33" spans="2:9" ht="18" customHeight="1" x14ac:dyDescent="0.25">
      <c r="B33" s="3" t="s">
        <v>84</v>
      </c>
      <c r="C33" s="4">
        <v>10</v>
      </c>
      <c r="D33" s="4">
        <v>30</v>
      </c>
      <c r="E33" s="46" t="s">
        <v>85</v>
      </c>
      <c r="F33" s="65"/>
      <c r="G33" s="65"/>
      <c r="H33" s="65"/>
      <c r="I33" s="65"/>
    </row>
    <row r="34" spans="2:9" ht="21.75" customHeight="1" x14ac:dyDescent="0.25">
      <c r="B34" s="46" t="s">
        <v>86</v>
      </c>
      <c r="C34" s="65"/>
      <c r="D34" s="65"/>
      <c r="E34" s="65"/>
      <c r="F34" s="65"/>
      <c r="G34" s="65"/>
      <c r="H34" s="65"/>
      <c r="I34" s="65"/>
    </row>
    <row r="36" spans="2:9" ht="15.75" customHeight="1" x14ac:dyDescent="0.25">
      <c r="B36" s="36" t="s">
        <v>87</v>
      </c>
      <c r="C36" s="66"/>
      <c r="D36" s="66"/>
      <c r="E36" s="66"/>
      <c r="F36" s="66"/>
      <c r="G36" s="66"/>
      <c r="H36" s="66"/>
      <c r="I36" s="66"/>
    </row>
    <row r="37" spans="2:9" ht="32.1" customHeight="1" x14ac:dyDescent="0.25">
      <c r="B37" s="2" t="s">
        <v>88</v>
      </c>
      <c r="C37" s="2" t="s">
        <v>89</v>
      </c>
      <c r="D37" s="43" t="s">
        <v>90</v>
      </c>
      <c r="E37" s="67"/>
      <c r="F37" s="2" t="s">
        <v>91</v>
      </c>
      <c r="G37" s="43" t="s">
        <v>92</v>
      </c>
      <c r="H37" s="67"/>
      <c r="I37" s="2" t="s">
        <v>93</v>
      </c>
    </row>
    <row r="38" spans="2:9" ht="96" customHeight="1" x14ac:dyDescent="0.25">
      <c r="B38" s="14" t="s">
        <v>94</v>
      </c>
      <c r="C38" s="17" t="s">
        <v>95</v>
      </c>
      <c r="D38" s="46" t="s">
        <v>96</v>
      </c>
      <c r="E38" s="65"/>
      <c r="F38" s="17" t="s">
        <v>97</v>
      </c>
      <c r="G38" s="46" t="s">
        <v>98</v>
      </c>
      <c r="H38" s="65"/>
      <c r="I38" s="15">
        <v>1</v>
      </c>
    </row>
    <row r="39" spans="2:9" ht="96" customHeight="1" x14ac:dyDescent="0.25">
      <c r="B39" s="14" t="s">
        <v>70</v>
      </c>
      <c r="C39" s="17" t="s">
        <v>99</v>
      </c>
      <c r="D39" s="46" t="s">
        <v>100</v>
      </c>
      <c r="E39" s="65"/>
      <c r="F39" s="17" t="s">
        <v>101</v>
      </c>
      <c r="G39" s="46" t="s">
        <v>102</v>
      </c>
      <c r="H39" s="65"/>
      <c r="I39" s="16">
        <v>2.5</v>
      </c>
    </row>
    <row r="40" spans="2:9" ht="96" customHeight="1" x14ac:dyDescent="0.25">
      <c r="B40" s="14" t="s">
        <v>103</v>
      </c>
      <c r="C40" s="17" t="s">
        <v>104</v>
      </c>
      <c r="D40" s="46" t="s">
        <v>100</v>
      </c>
      <c r="E40" s="65"/>
      <c r="F40" s="17" t="s">
        <v>101</v>
      </c>
      <c r="G40" s="46" t="s">
        <v>105</v>
      </c>
      <c r="H40" s="65"/>
      <c r="I40" s="16">
        <v>5</v>
      </c>
    </row>
    <row r="41" spans="2:9" ht="53.25" customHeight="1" x14ac:dyDescent="0.25">
      <c r="B41" s="46" t="s">
        <v>106</v>
      </c>
      <c r="C41" s="65"/>
      <c r="D41" s="65"/>
      <c r="E41" s="65"/>
      <c r="F41" s="65"/>
      <c r="G41" s="65"/>
      <c r="H41" s="65"/>
      <c r="I41" s="65"/>
    </row>
    <row r="43" spans="2:9" ht="15.75" customHeight="1" x14ac:dyDescent="0.25">
      <c r="B43" s="36" t="s">
        <v>107</v>
      </c>
      <c r="C43" s="66"/>
      <c r="D43" s="66"/>
      <c r="E43" s="66"/>
      <c r="F43" s="66"/>
      <c r="G43" s="66"/>
      <c r="H43" s="66"/>
      <c r="I43" s="66"/>
    </row>
    <row r="44" spans="2:9" ht="32.1" customHeight="1" x14ac:dyDescent="0.25">
      <c r="B44" s="43" t="s">
        <v>108</v>
      </c>
      <c r="C44" s="67"/>
      <c r="D44" s="2" t="s">
        <v>109</v>
      </c>
      <c r="E44" s="2" t="s">
        <v>110</v>
      </c>
      <c r="F44" s="2" t="s">
        <v>111</v>
      </c>
      <c r="G44" s="2" t="s">
        <v>112</v>
      </c>
      <c r="H44" s="2" t="s">
        <v>113</v>
      </c>
      <c r="I44" s="2" t="s">
        <v>114</v>
      </c>
    </row>
    <row r="45" spans="2:9" ht="63" customHeight="1" x14ac:dyDescent="0.25">
      <c r="B45" s="47" t="s">
        <v>115</v>
      </c>
      <c r="C45" s="65"/>
      <c r="D45" s="17" t="s">
        <v>116</v>
      </c>
      <c r="E45" s="4" t="s">
        <v>117</v>
      </c>
      <c r="F45" s="17" t="s">
        <v>118</v>
      </c>
      <c r="G45" s="17" t="s">
        <v>119</v>
      </c>
      <c r="H45" s="17" t="s">
        <v>120</v>
      </c>
      <c r="I45" s="17" t="s">
        <v>121</v>
      </c>
    </row>
    <row r="46" spans="2:9" ht="63" customHeight="1" x14ac:dyDescent="0.25">
      <c r="B46" s="47" t="s">
        <v>122</v>
      </c>
      <c r="C46" s="65"/>
      <c r="D46" s="17" t="s">
        <v>123</v>
      </c>
      <c r="E46" s="4" t="s">
        <v>124</v>
      </c>
      <c r="F46" s="17" t="s">
        <v>125</v>
      </c>
      <c r="G46" s="17" t="s">
        <v>119</v>
      </c>
      <c r="H46" s="17" t="s">
        <v>120</v>
      </c>
      <c r="I46" s="17" t="s">
        <v>121</v>
      </c>
    </row>
    <row r="47" spans="2:9" ht="63" customHeight="1" x14ac:dyDescent="0.25">
      <c r="B47" s="47" t="s">
        <v>126</v>
      </c>
      <c r="C47" s="65"/>
      <c r="D47" s="17" t="s">
        <v>127</v>
      </c>
      <c r="E47" s="4" t="s">
        <v>128</v>
      </c>
      <c r="F47" s="17" t="s">
        <v>129</v>
      </c>
      <c r="G47" s="17" t="s">
        <v>119</v>
      </c>
      <c r="H47" s="17" t="s">
        <v>120</v>
      </c>
      <c r="I47" s="17" t="s">
        <v>121</v>
      </c>
    </row>
    <row r="48" spans="2:9" ht="63" customHeight="1" x14ac:dyDescent="0.25">
      <c r="B48" s="47" t="s">
        <v>130</v>
      </c>
      <c r="C48" s="65"/>
      <c r="D48" s="17" t="s">
        <v>131</v>
      </c>
      <c r="E48" s="4" t="s">
        <v>132</v>
      </c>
      <c r="F48" s="17" t="s">
        <v>133</v>
      </c>
      <c r="G48" s="17" t="s">
        <v>134</v>
      </c>
      <c r="H48" s="17" t="s">
        <v>120</v>
      </c>
      <c r="I48" s="17" t="s">
        <v>135</v>
      </c>
    </row>
    <row r="49" spans="2:9" ht="63" customHeight="1" x14ac:dyDescent="0.25">
      <c r="B49" s="47" t="s">
        <v>136</v>
      </c>
      <c r="C49" s="65"/>
      <c r="D49" s="17" t="s">
        <v>137</v>
      </c>
      <c r="E49" s="4" t="s">
        <v>128</v>
      </c>
      <c r="F49" s="17" t="s">
        <v>138</v>
      </c>
      <c r="G49" s="17" t="s">
        <v>119</v>
      </c>
      <c r="H49" s="17" t="s">
        <v>120</v>
      </c>
      <c r="I49" s="17" t="s">
        <v>121</v>
      </c>
    </row>
    <row r="50" spans="2:9" ht="63" customHeight="1" x14ac:dyDescent="0.25">
      <c r="B50" s="47" t="s">
        <v>139</v>
      </c>
      <c r="C50" s="65"/>
      <c r="D50" s="17" t="s">
        <v>140</v>
      </c>
      <c r="E50" s="4" t="s">
        <v>124</v>
      </c>
      <c r="F50" s="17" t="s">
        <v>141</v>
      </c>
      <c r="G50" s="17" t="s">
        <v>142</v>
      </c>
      <c r="H50" s="17" t="s">
        <v>120</v>
      </c>
      <c r="I50" s="17" t="s">
        <v>135</v>
      </c>
    </row>
    <row r="51" spans="2:9" ht="63" customHeight="1" x14ac:dyDescent="0.25">
      <c r="B51" s="47" t="s">
        <v>143</v>
      </c>
      <c r="C51" s="65"/>
      <c r="D51" s="17" t="s">
        <v>144</v>
      </c>
      <c r="E51" s="4" t="s">
        <v>145</v>
      </c>
      <c r="F51" s="17" t="s">
        <v>146</v>
      </c>
      <c r="G51" s="17" t="s">
        <v>147</v>
      </c>
      <c r="H51" s="17" t="s">
        <v>120</v>
      </c>
      <c r="I51" s="17" t="s">
        <v>121</v>
      </c>
    </row>
    <row r="52" spans="2:9" ht="63" customHeight="1" x14ac:dyDescent="0.25">
      <c r="B52" s="47" t="s">
        <v>148</v>
      </c>
      <c r="C52" s="65"/>
      <c r="D52" s="17" t="s">
        <v>149</v>
      </c>
      <c r="E52" s="4" t="s">
        <v>150</v>
      </c>
      <c r="F52" s="17" t="s">
        <v>151</v>
      </c>
      <c r="G52" s="17" t="s">
        <v>119</v>
      </c>
      <c r="H52" s="17" t="s">
        <v>120</v>
      </c>
      <c r="I52" s="17" t="s">
        <v>121</v>
      </c>
    </row>
    <row r="53" spans="2:9" ht="63" customHeight="1" x14ac:dyDescent="0.25">
      <c r="B53" s="47" t="s">
        <v>152</v>
      </c>
      <c r="C53" s="65"/>
      <c r="D53" s="17" t="s">
        <v>153</v>
      </c>
      <c r="E53" s="4" t="s">
        <v>154</v>
      </c>
      <c r="F53" s="17" t="s">
        <v>155</v>
      </c>
      <c r="G53" s="17" t="s">
        <v>119</v>
      </c>
      <c r="H53" s="17" t="s">
        <v>120</v>
      </c>
      <c r="I53" s="17" t="s">
        <v>121</v>
      </c>
    </row>
    <row r="54" spans="2:9" ht="53.25" customHeight="1" x14ac:dyDescent="0.25">
      <c r="B54" s="46" t="s">
        <v>156</v>
      </c>
      <c r="C54" s="65"/>
      <c r="D54" s="65"/>
      <c r="E54" s="65"/>
      <c r="F54" s="65"/>
      <c r="G54" s="65"/>
      <c r="H54" s="65"/>
      <c r="I54" s="65"/>
    </row>
    <row r="56" spans="2:9" ht="15.75" customHeight="1" x14ac:dyDescent="0.25">
      <c r="B56" s="36" t="s">
        <v>157</v>
      </c>
      <c r="C56" s="66"/>
      <c r="D56" s="66"/>
      <c r="E56" s="66"/>
      <c r="F56" s="66"/>
      <c r="G56" s="66"/>
      <c r="H56" s="66"/>
      <c r="I56" s="66"/>
    </row>
    <row r="57" spans="2:9" ht="18" customHeight="1" x14ac:dyDescent="0.25">
      <c r="B57" s="2" t="s">
        <v>158</v>
      </c>
      <c r="C57" s="2" t="s">
        <v>159</v>
      </c>
      <c r="D57" s="43" t="s">
        <v>160</v>
      </c>
      <c r="E57" s="67"/>
      <c r="F57" s="67"/>
      <c r="G57" s="67"/>
      <c r="H57" s="67"/>
      <c r="I57" s="67"/>
    </row>
    <row r="58" spans="2:9" ht="48" customHeight="1" x14ac:dyDescent="0.25">
      <c r="B58" s="3" t="s">
        <v>161</v>
      </c>
      <c r="C58" s="18">
        <v>0.1</v>
      </c>
      <c r="D58" s="46" t="s">
        <v>162</v>
      </c>
      <c r="E58" s="65"/>
      <c r="F58" s="65"/>
      <c r="G58" s="65"/>
      <c r="H58" s="65"/>
      <c r="I58" s="65"/>
    </row>
    <row r="59" spans="2:9" ht="48" customHeight="1" x14ac:dyDescent="0.25">
      <c r="B59" s="3" t="s">
        <v>163</v>
      </c>
      <c r="C59" s="18">
        <v>0.25</v>
      </c>
      <c r="D59" s="46" t="s">
        <v>164</v>
      </c>
      <c r="E59" s="65"/>
      <c r="F59" s="65"/>
      <c r="G59" s="65"/>
      <c r="H59" s="65"/>
      <c r="I59" s="65"/>
    </row>
    <row r="60" spans="2:9" ht="48" customHeight="1" x14ac:dyDescent="0.25">
      <c r="B60" s="3" t="s">
        <v>165</v>
      </c>
      <c r="C60" s="18">
        <v>0.5</v>
      </c>
      <c r="D60" s="46" t="s">
        <v>166</v>
      </c>
      <c r="E60" s="65"/>
      <c r="F60" s="65"/>
      <c r="G60" s="65"/>
      <c r="H60" s="65"/>
      <c r="I60" s="65"/>
    </row>
    <row r="61" spans="2:9" ht="55.5" customHeight="1" x14ac:dyDescent="0.25">
      <c r="B61" s="46" t="s">
        <v>167</v>
      </c>
      <c r="C61" s="65"/>
      <c r="D61" s="65"/>
      <c r="E61" s="65"/>
      <c r="F61" s="65"/>
      <c r="G61" s="65"/>
      <c r="H61" s="65"/>
      <c r="I61" s="65"/>
    </row>
    <row r="63" spans="2:9" ht="15.75" customHeight="1" x14ac:dyDescent="0.25">
      <c r="B63" s="36" t="s">
        <v>168</v>
      </c>
      <c r="C63" s="66"/>
      <c r="D63" s="66"/>
      <c r="E63" s="66"/>
      <c r="F63" s="66"/>
      <c r="G63" s="66"/>
      <c r="H63" s="66"/>
      <c r="I63" s="66"/>
    </row>
    <row r="64" spans="2:9" ht="48" customHeight="1" x14ac:dyDescent="0.25">
      <c r="B64" s="47" t="s">
        <v>169</v>
      </c>
      <c r="C64" s="65"/>
      <c r="D64" s="65"/>
      <c r="E64" s="18">
        <v>0.9</v>
      </c>
      <c r="F64" s="46" t="s">
        <v>170</v>
      </c>
      <c r="G64" s="65"/>
      <c r="H64" s="65"/>
      <c r="I64" s="65"/>
    </row>
    <row r="66" spans="2:9" ht="15.75" customHeight="1" x14ac:dyDescent="0.25">
      <c r="B66" s="36" t="s">
        <v>171</v>
      </c>
      <c r="C66" s="66"/>
      <c r="D66" s="66"/>
      <c r="E66" s="66"/>
      <c r="F66" s="66"/>
      <c r="G66" s="66"/>
      <c r="H66" s="66"/>
      <c r="I66" s="66"/>
    </row>
    <row r="67" spans="2:9" ht="32.1" customHeight="1" x14ac:dyDescent="0.25">
      <c r="B67" s="2" t="s">
        <v>172</v>
      </c>
      <c r="C67" s="2" t="s">
        <v>173</v>
      </c>
      <c r="D67" s="43" t="s">
        <v>174</v>
      </c>
      <c r="E67" s="67"/>
      <c r="F67" s="2" t="s">
        <v>110</v>
      </c>
      <c r="G67" s="43" t="s">
        <v>175</v>
      </c>
      <c r="H67" s="67"/>
      <c r="I67" s="67"/>
    </row>
    <row r="68" spans="2:9" ht="63" customHeight="1" x14ac:dyDescent="0.25">
      <c r="B68" s="17" t="s">
        <v>176</v>
      </c>
      <c r="C68" s="17" t="s">
        <v>177</v>
      </c>
      <c r="D68" s="46" t="s">
        <v>178</v>
      </c>
      <c r="E68" s="65"/>
      <c r="F68" s="17" t="s">
        <v>117</v>
      </c>
      <c r="G68" s="46" t="s">
        <v>179</v>
      </c>
      <c r="H68" s="65"/>
      <c r="I68" s="65"/>
    </row>
    <row r="69" spans="2:9" ht="63" customHeight="1" x14ac:dyDescent="0.25">
      <c r="B69" s="17" t="s">
        <v>180</v>
      </c>
      <c r="C69" s="17" t="s">
        <v>177</v>
      </c>
      <c r="D69" s="46" t="s">
        <v>181</v>
      </c>
      <c r="E69" s="65"/>
      <c r="F69" s="17" t="s">
        <v>132</v>
      </c>
      <c r="G69" s="46" t="s">
        <v>182</v>
      </c>
      <c r="H69" s="65"/>
      <c r="I69" s="65"/>
    </row>
    <row r="70" spans="2:9" ht="63" customHeight="1" x14ac:dyDescent="0.25">
      <c r="B70" s="17" t="s">
        <v>183</v>
      </c>
      <c r="C70" s="17" t="s">
        <v>184</v>
      </c>
      <c r="D70" s="46" t="s">
        <v>185</v>
      </c>
      <c r="E70" s="65"/>
      <c r="F70" s="17" t="s">
        <v>124</v>
      </c>
      <c r="G70" s="46" t="s">
        <v>186</v>
      </c>
      <c r="H70" s="65"/>
      <c r="I70" s="65"/>
    </row>
    <row r="71" spans="2:9" ht="63" customHeight="1" x14ac:dyDescent="0.25">
      <c r="B71" s="17" t="s">
        <v>187</v>
      </c>
      <c r="C71" s="17" t="s">
        <v>184</v>
      </c>
      <c r="D71" s="46" t="s">
        <v>188</v>
      </c>
      <c r="E71" s="65"/>
      <c r="F71" s="17" t="s">
        <v>128</v>
      </c>
      <c r="G71" s="46" t="s">
        <v>189</v>
      </c>
      <c r="H71" s="65"/>
      <c r="I71" s="65"/>
    </row>
    <row r="72" spans="2:9" ht="63" customHeight="1" x14ac:dyDescent="0.25">
      <c r="B72" s="17" t="s">
        <v>190</v>
      </c>
      <c r="C72" s="17" t="s">
        <v>184</v>
      </c>
      <c r="D72" s="46" t="s">
        <v>191</v>
      </c>
      <c r="E72" s="65"/>
      <c r="F72" s="17" t="s">
        <v>145</v>
      </c>
      <c r="G72" s="46" t="s">
        <v>192</v>
      </c>
      <c r="H72" s="65"/>
      <c r="I72" s="65"/>
    </row>
    <row r="73" spans="2:9" ht="63" customHeight="1" x14ac:dyDescent="0.25">
      <c r="B73" s="17" t="s">
        <v>193</v>
      </c>
      <c r="C73" s="17" t="s">
        <v>184</v>
      </c>
      <c r="D73" s="46" t="s">
        <v>194</v>
      </c>
      <c r="E73" s="65"/>
      <c r="F73" s="17" t="s">
        <v>150</v>
      </c>
      <c r="G73" s="46" t="s">
        <v>195</v>
      </c>
      <c r="H73" s="65"/>
      <c r="I73" s="65"/>
    </row>
    <row r="74" spans="2:9" ht="63" customHeight="1" x14ac:dyDescent="0.25">
      <c r="B74" s="17"/>
      <c r="C74" s="17"/>
      <c r="D74" s="46"/>
      <c r="E74" s="65"/>
      <c r="F74" s="17" t="s">
        <v>154</v>
      </c>
      <c r="G74" s="46" t="s">
        <v>196</v>
      </c>
      <c r="H74" s="65"/>
      <c r="I74" s="65"/>
    </row>
    <row r="75" spans="2:9" ht="21.75" customHeight="1" x14ac:dyDescent="0.25">
      <c r="B75" s="46" t="s">
        <v>197</v>
      </c>
      <c r="C75" s="65"/>
      <c r="D75" s="65"/>
      <c r="E75" s="65"/>
      <c r="F75" s="65"/>
      <c r="G75" s="65"/>
      <c r="H75" s="65"/>
      <c r="I75" s="65"/>
    </row>
    <row r="77" spans="2:9" ht="15.75" customHeight="1" x14ac:dyDescent="0.25">
      <c r="B77" s="36" t="s">
        <v>198</v>
      </c>
      <c r="C77" s="66"/>
      <c r="D77" s="66"/>
      <c r="E77" s="66"/>
      <c r="F77" s="66"/>
      <c r="G77" s="66"/>
      <c r="H77" s="66"/>
      <c r="I77" s="66"/>
    </row>
    <row r="78" spans="2:9" ht="47.25" customHeight="1" x14ac:dyDescent="0.25">
      <c r="B78" s="2" t="s">
        <v>199</v>
      </c>
      <c r="C78" s="43" t="s">
        <v>89</v>
      </c>
      <c r="D78" s="67"/>
      <c r="E78" s="2" t="s">
        <v>200</v>
      </c>
      <c r="F78" s="2" t="s">
        <v>201</v>
      </c>
      <c r="G78" s="43" t="s">
        <v>202</v>
      </c>
      <c r="H78" s="67"/>
      <c r="I78" s="67"/>
    </row>
    <row r="79" spans="2:9" ht="33" customHeight="1" x14ac:dyDescent="0.25">
      <c r="B79" s="17" t="s">
        <v>203</v>
      </c>
      <c r="C79" s="46" t="s">
        <v>204</v>
      </c>
      <c r="D79" s="65"/>
      <c r="E79" s="4" t="s">
        <v>205</v>
      </c>
      <c r="F79" s="17" t="s">
        <v>206</v>
      </c>
      <c r="G79" s="46" t="s">
        <v>207</v>
      </c>
      <c r="H79" s="65"/>
      <c r="I79" s="65"/>
    </row>
    <row r="80" spans="2:9" ht="33" customHeight="1" x14ac:dyDescent="0.25">
      <c r="B80" s="17" t="s">
        <v>208</v>
      </c>
      <c r="C80" s="46" t="s">
        <v>209</v>
      </c>
      <c r="D80" s="65"/>
      <c r="E80" s="4" t="s">
        <v>210</v>
      </c>
      <c r="F80" s="17" t="s">
        <v>205</v>
      </c>
      <c r="G80" s="46" t="s">
        <v>211</v>
      </c>
      <c r="H80" s="65"/>
      <c r="I80" s="65"/>
    </row>
    <row r="81" spans="2:9" ht="33" customHeight="1" x14ac:dyDescent="0.25">
      <c r="B81" s="17" t="s">
        <v>212</v>
      </c>
      <c r="C81" s="46" t="s">
        <v>213</v>
      </c>
      <c r="D81" s="65"/>
      <c r="E81" s="4" t="s">
        <v>214</v>
      </c>
      <c r="F81" s="17" t="s">
        <v>215</v>
      </c>
      <c r="G81" s="46" t="s">
        <v>216</v>
      </c>
      <c r="H81" s="65"/>
      <c r="I81" s="65"/>
    </row>
    <row r="82" spans="2:9" ht="33" customHeight="1" x14ac:dyDescent="0.25">
      <c r="B82" s="17" t="s">
        <v>217</v>
      </c>
      <c r="C82" s="46" t="s">
        <v>218</v>
      </c>
      <c r="D82" s="65"/>
      <c r="E82" s="4" t="s">
        <v>214</v>
      </c>
      <c r="F82" s="17" t="s">
        <v>219</v>
      </c>
      <c r="G82" s="46" t="s">
        <v>220</v>
      </c>
      <c r="H82" s="65"/>
      <c r="I82" s="65"/>
    </row>
    <row r="83" spans="2:9" ht="33" customHeight="1" x14ac:dyDescent="0.25">
      <c r="B83" s="17" t="s">
        <v>221</v>
      </c>
      <c r="C83" s="46" t="s">
        <v>222</v>
      </c>
      <c r="D83" s="65"/>
      <c r="E83" s="4" t="s">
        <v>219</v>
      </c>
      <c r="F83" s="17" t="s">
        <v>223</v>
      </c>
      <c r="G83" s="46" t="s">
        <v>224</v>
      </c>
      <c r="H83" s="65"/>
      <c r="I83" s="65"/>
    </row>
    <row r="84" spans="2:9" ht="33" customHeight="1" x14ac:dyDescent="0.25">
      <c r="B84" s="17" t="s">
        <v>225</v>
      </c>
      <c r="C84" s="46" t="s">
        <v>226</v>
      </c>
      <c r="D84" s="65"/>
      <c r="E84" s="4" t="s">
        <v>205</v>
      </c>
      <c r="F84" s="17" t="s">
        <v>210</v>
      </c>
      <c r="G84" s="46" t="s">
        <v>227</v>
      </c>
      <c r="H84" s="65"/>
      <c r="I84" s="65"/>
    </row>
    <row r="85" spans="2:9" ht="33" customHeight="1" x14ac:dyDescent="0.25">
      <c r="B85" s="17" t="s">
        <v>228</v>
      </c>
      <c r="C85" s="46" t="s">
        <v>229</v>
      </c>
      <c r="D85" s="65"/>
      <c r="E85" s="4" t="s">
        <v>230</v>
      </c>
      <c r="F85" s="17" t="s">
        <v>214</v>
      </c>
      <c r="G85" s="46" t="s">
        <v>231</v>
      </c>
      <c r="H85" s="65"/>
      <c r="I85" s="65"/>
    </row>
    <row r="86" spans="2:9" ht="33" customHeight="1" x14ac:dyDescent="0.25">
      <c r="B86" s="17" t="s">
        <v>232</v>
      </c>
      <c r="C86" s="46" t="s">
        <v>233</v>
      </c>
      <c r="D86" s="65"/>
      <c r="E86" s="4" t="s">
        <v>230</v>
      </c>
      <c r="F86" s="17" t="s">
        <v>230</v>
      </c>
      <c r="G86" s="46" t="s">
        <v>234</v>
      </c>
      <c r="H86" s="65"/>
      <c r="I86" s="65"/>
    </row>
    <row r="87" spans="2:9" ht="33" customHeight="1" x14ac:dyDescent="0.25">
      <c r="B87" s="17" t="s">
        <v>235</v>
      </c>
      <c r="C87" s="46" t="s">
        <v>236</v>
      </c>
      <c r="D87" s="65"/>
      <c r="E87" s="4" t="s">
        <v>237</v>
      </c>
      <c r="F87" s="17" t="s">
        <v>238</v>
      </c>
      <c r="G87" s="46" t="s">
        <v>239</v>
      </c>
      <c r="H87" s="65"/>
      <c r="I87" s="65"/>
    </row>
    <row r="88" spans="2:9" ht="33" customHeight="1" x14ac:dyDescent="0.25">
      <c r="B88" s="17" t="s">
        <v>240</v>
      </c>
      <c r="C88" s="46" t="s">
        <v>241</v>
      </c>
      <c r="D88" s="65"/>
      <c r="E88" s="4" t="s">
        <v>237</v>
      </c>
      <c r="F88" s="17" t="s">
        <v>242</v>
      </c>
      <c r="G88" s="46" t="s">
        <v>243</v>
      </c>
      <c r="H88" s="65"/>
      <c r="I88" s="65"/>
    </row>
    <row r="89" spans="2:9" ht="33" customHeight="1" x14ac:dyDescent="0.25">
      <c r="B89" s="17" t="s">
        <v>244</v>
      </c>
      <c r="C89" s="46" t="s">
        <v>245</v>
      </c>
      <c r="D89" s="65"/>
      <c r="E89" s="4" t="s">
        <v>242</v>
      </c>
      <c r="F89" s="17" t="s">
        <v>246</v>
      </c>
      <c r="G89" s="46"/>
      <c r="H89" s="65"/>
      <c r="I89" s="65"/>
    </row>
    <row r="90" spans="2:9" ht="33" customHeight="1" x14ac:dyDescent="0.25">
      <c r="B90" s="17" t="s">
        <v>247</v>
      </c>
      <c r="C90" s="46" t="s">
        <v>248</v>
      </c>
      <c r="D90" s="65"/>
      <c r="E90" s="4" t="s">
        <v>242</v>
      </c>
      <c r="F90" s="17" t="s">
        <v>249</v>
      </c>
      <c r="G90" s="46"/>
      <c r="H90" s="65"/>
      <c r="I90" s="65"/>
    </row>
    <row r="91" spans="2:9" ht="33" customHeight="1" x14ac:dyDescent="0.25">
      <c r="B91" s="17" t="s">
        <v>250</v>
      </c>
      <c r="C91" s="46" t="s">
        <v>251</v>
      </c>
      <c r="D91" s="65"/>
      <c r="E91" s="4" t="s">
        <v>252</v>
      </c>
      <c r="F91" s="17" t="s">
        <v>237</v>
      </c>
      <c r="G91" s="46"/>
      <c r="H91" s="65"/>
      <c r="I91" s="65"/>
    </row>
    <row r="92" spans="2:9" ht="33" customHeight="1" x14ac:dyDescent="0.25">
      <c r="B92" s="17"/>
      <c r="C92" s="46"/>
      <c r="D92" s="65"/>
      <c r="E92" s="4"/>
      <c r="F92" s="17" t="s">
        <v>252</v>
      </c>
      <c r="G92" s="46"/>
      <c r="H92" s="65"/>
      <c r="I92" s="65"/>
    </row>
    <row r="93" spans="2:9" ht="37.5" customHeight="1" x14ac:dyDescent="0.25">
      <c r="B93" s="46" t="s">
        <v>253</v>
      </c>
      <c r="C93" s="65"/>
      <c r="D93" s="65"/>
      <c r="E93" s="65"/>
      <c r="F93" s="65"/>
      <c r="G93" s="65"/>
      <c r="H93" s="65"/>
      <c r="I93" s="65"/>
    </row>
  </sheetData>
  <mergeCells count="109">
    <mergeCell ref="B7:I7"/>
    <mergeCell ref="D17:I17"/>
    <mergeCell ref="B46:C46"/>
    <mergeCell ref="D40:E40"/>
    <mergeCell ref="C88:D88"/>
    <mergeCell ref="B43:I43"/>
    <mergeCell ref="B48:C48"/>
    <mergeCell ref="D12:I12"/>
    <mergeCell ref="B64:D64"/>
    <mergeCell ref="G25:I25"/>
    <mergeCell ref="G85:I85"/>
    <mergeCell ref="D14:I14"/>
    <mergeCell ref="B34:I34"/>
    <mergeCell ref="D74:E74"/>
    <mergeCell ref="D68:E68"/>
    <mergeCell ref="G67:I67"/>
    <mergeCell ref="C81:D81"/>
    <mergeCell ref="B50:C50"/>
    <mergeCell ref="G40:H40"/>
    <mergeCell ref="C78:D78"/>
    <mergeCell ref="C87:D87"/>
    <mergeCell ref="D9:I9"/>
    <mergeCell ref="G37:H37"/>
    <mergeCell ref="C84:D84"/>
    <mergeCell ref="B61:I61"/>
    <mergeCell ref="C80:D80"/>
    <mergeCell ref="D15:I15"/>
    <mergeCell ref="B44:C44"/>
    <mergeCell ref="B29:I29"/>
    <mergeCell ref="G84:I84"/>
    <mergeCell ref="G22:I22"/>
    <mergeCell ref="G72:I72"/>
    <mergeCell ref="D10:I10"/>
    <mergeCell ref="G70:I70"/>
    <mergeCell ref="D67:E67"/>
    <mergeCell ref="G23:I23"/>
    <mergeCell ref="B45:C45"/>
    <mergeCell ref="D69:E69"/>
    <mergeCell ref="B47:C47"/>
    <mergeCell ref="B27:I27"/>
    <mergeCell ref="G68:I68"/>
    <mergeCell ref="G83:I83"/>
    <mergeCell ref="B93:I93"/>
    <mergeCell ref="G39:H39"/>
    <mergeCell ref="B52:C52"/>
    <mergeCell ref="C85:D85"/>
    <mergeCell ref="F64:I64"/>
    <mergeCell ref="B77:I77"/>
    <mergeCell ref="G86:I86"/>
    <mergeCell ref="G91:I91"/>
    <mergeCell ref="C92:D92"/>
    <mergeCell ref="B75:I75"/>
    <mergeCell ref="G69:I69"/>
    <mergeCell ref="G78:I78"/>
    <mergeCell ref="G92:I92"/>
    <mergeCell ref="B21:I21"/>
    <mergeCell ref="G38:H38"/>
    <mergeCell ref="G80:I80"/>
    <mergeCell ref="D58:I58"/>
    <mergeCell ref="B53:C53"/>
    <mergeCell ref="E30:I30"/>
    <mergeCell ref="C90:D90"/>
    <mergeCell ref="D37:E37"/>
    <mergeCell ref="G81:I81"/>
    <mergeCell ref="D39:E39"/>
    <mergeCell ref="C91:D91"/>
    <mergeCell ref="G71:I71"/>
    <mergeCell ref="C82:D82"/>
    <mergeCell ref="E32:I32"/>
    <mergeCell ref="D38:E38"/>
    <mergeCell ref="B63:I63"/>
    <mergeCell ref="B41:I41"/>
    <mergeCell ref="G82:I82"/>
    <mergeCell ref="C86:D86"/>
    <mergeCell ref="G90:I90"/>
    <mergeCell ref="D59:I59"/>
    <mergeCell ref="D71:E71"/>
    <mergeCell ref="D60:I60"/>
    <mergeCell ref="B49:C49"/>
    <mergeCell ref="B51:C51"/>
    <mergeCell ref="D73:E73"/>
    <mergeCell ref="B36:I36"/>
    <mergeCell ref="C83:D83"/>
    <mergeCell ref="B66:I66"/>
    <mergeCell ref="G74:I74"/>
    <mergeCell ref="D57:I57"/>
    <mergeCell ref="B54:I54"/>
    <mergeCell ref="G87:I87"/>
    <mergeCell ref="C89:D89"/>
    <mergeCell ref="D16:I16"/>
    <mergeCell ref="A1:J4"/>
    <mergeCell ref="C79:D79"/>
    <mergeCell ref="B56:I56"/>
    <mergeCell ref="G24:I24"/>
    <mergeCell ref="G89:I89"/>
    <mergeCell ref="D18:I18"/>
    <mergeCell ref="G79:I79"/>
    <mergeCell ref="G73:I73"/>
    <mergeCell ref="G88:I88"/>
    <mergeCell ref="G26:I26"/>
    <mergeCell ref="D70:E70"/>
    <mergeCell ref="E31:I31"/>
    <mergeCell ref="B8:I8"/>
    <mergeCell ref="D72:E72"/>
    <mergeCell ref="A5:J5"/>
    <mergeCell ref="D19:I19"/>
    <mergeCell ref="D11:I11"/>
    <mergeCell ref="D13:I13"/>
    <mergeCell ref="E33:I33"/>
  </mergeCells>
  <dataValidations count="3">
    <dataValidation type="list" showInputMessage="1" showErrorMessage="1" promptTitle="Base de materialidad" prompt="Elija la base financiera con la que la organización define qué impacto es bajo, moderado, significativo o crítico." sqref="C19" xr:uid="{00000000-0002-0000-0100-000000000000}">
      <formula1>"Ingresos anuales,EBITDA anual,Activos totales,Flujo de caja operativo,Valor monetario absoluto"</formula1>
    </dataValidation>
    <dataValidation type="list" allowBlank="1" showInputMessage="1" showErrorMessage="1" errorTitle="Valor no permitido" error="Seleccione un valor de la lista definida en Parámetros." promptTitle="Variable financiera" prompt="Variable financiera a la que el Dashboard asigna el impacto de los riesgos cuantificados con este método." sqref="E45:E53" xr:uid="{00000000-0002-0000-0100-000001000000}">
      <formula1>ListaVariables</formula1>
    </dataValidation>
    <dataValidation type="list" allowBlank="1" showInputMessage="1" showErrorMessage="1" errorTitle="Valor no permitido" error="Seleccione un valor de la lista definida en Parámetros." promptTitle="Responsable sugerido" prompt="Área que la matriz propone automáticamente como responsable de los riesgos de este activo, proceso o ubicación." sqref="E79:E92" xr:uid="{00000000-0002-0000-0100-000002000000}">
      <formula1>ListaResponsables</formula1>
    </dataValidation>
  </dataValidations>
  <pageMargins left="0.4" right="0.4" top="0.5" bottom="0.5" header="0.5" footer="0.5"/>
  <pageSetup paperSize="9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43"/>
  <sheetViews>
    <sheetView showGridLines="0" zoomScale="80" workbookViewId="0">
      <pane xSplit="2" ySplit="7" topLeftCell="C8" activePane="bottomRight" state="frozen"/>
      <selection pane="topRight"/>
      <selection pane="bottomLeft"/>
      <selection pane="bottomRight" activeCell="K10" sqref="K10"/>
    </sheetView>
  </sheetViews>
  <sheetFormatPr baseColWidth="10" defaultColWidth="0" defaultRowHeight="15" x14ac:dyDescent="0.25"/>
  <cols>
    <col min="1" max="1" width="11" customWidth="1"/>
    <col min="2" max="2" width="22" customWidth="1"/>
    <col min="3" max="3" width="58" customWidth="1"/>
    <col min="4" max="4" width="26" customWidth="1"/>
    <col min="5" max="5" width="14" customWidth="1"/>
    <col min="6" max="6" width="26" customWidth="1"/>
    <col min="7" max="7" width="19.28515625" customWidth="1"/>
    <col min="8" max="10" width="17" customWidth="1"/>
    <col min="11" max="11" width="46" customWidth="1"/>
    <col min="12" max="12" width="21.7109375" customWidth="1"/>
    <col min="13" max="13" width="40" customWidth="1"/>
    <col min="14" max="14" width="15" customWidth="1"/>
    <col min="15" max="15" width="13" customWidth="1"/>
    <col min="16" max="16" width="18" customWidth="1"/>
    <col min="17" max="17" width="13" customWidth="1"/>
    <col min="18" max="18" width="22" customWidth="1"/>
    <col min="19" max="19" width="42" customWidth="1"/>
    <col min="20" max="20" width="14" customWidth="1"/>
    <col min="21" max="21" width="16" customWidth="1"/>
    <col min="22" max="22" width="30" customWidth="1"/>
    <col min="23" max="16384" width="9.140625" hidden="1"/>
  </cols>
  <sheetData>
    <row r="1" spans="1:22" ht="15" customHeight="1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15" customHeigh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1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15" customHeight="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</row>
    <row r="5" spans="1:22" ht="3" customHeight="1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</row>
    <row r="6" spans="1:22" ht="30" customHeight="1" x14ac:dyDescent="0.25">
      <c r="A6" s="36" t="s">
        <v>254</v>
      </c>
      <c r="B6" s="37"/>
      <c r="C6" s="19" t="s">
        <v>70</v>
      </c>
      <c r="D6" s="48" t="s">
        <v>255</v>
      </c>
      <c r="E6" s="49"/>
      <c r="F6" s="49"/>
      <c r="G6" s="49"/>
      <c r="H6" s="49"/>
      <c r="I6" s="49"/>
      <c r="J6" s="49"/>
      <c r="K6" s="49"/>
    </row>
    <row r="7" spans="1:22" ht="63" customHeight="1" x14ac:dyDescent="0.25">
      <c r="A7" s="1" t="s">
        <v>256</v>
      </c>
      <c r="B7" s="1" t="s">
        <v>172</v>
      </c>
      <c r="C7" s="1" t="s">
        <v>257</v>
      </c>
      <c r="D7" s="1" t="s">
        <v>199</v>
      </c>
      <c r="E7" s="1" t="s">
        <v>258</v>
      </c>
      <c r="F7" s="1" t="s">
        <v>108</v>
      </c>
      <c r="G7" s="1" t="s">
        <v>259</v>
      </c>
      <c r="H7" s="1" t="str">
        <f>"Supuesto de impacto: "&amp;Parámetros!$B$38</f>
        <v>Supuesto de impacto: Base</v>
      </c>
      <c r="I7" s="1" t="str">
        <f>"Supuesto de impacto: "&amp;Parámetros!$B$39</f>
        <v>Supuesto de impacto: Moderado</v>
      </c>
      <c r="J7" s="1" t="str">
        <f>"Supuesto de impacto: "&amp;Parámetros!$B$40</f>
        <v>Supuesto de impacto: Severo</v>
      </c>
      <c r="K7" s="1" t="s">
        <v>260</v>
      </c>
      <c r="L7" s="1" t="str">
        <f>"Impacto financiero bruto ("&amp;EscenarioAnalisis&amp;")"</f>
        <v>Impacto financiero bruto (Moderado)</v>
      </c>
      <c r="M7" s="1" t="s">
        <v>261</v>
      </c>
      <c r="N7" s="1" t="s">
        <v>262</v>
      </c>
      <c r="O7" s="1" t="s">
        <v>263</v>
      </c>
      <c r="P7" s="1" t="str">
        <f>"Impacto financiero residual ("&amp;EscenarioAnalisis&amp;")"</f>
        <v>Impacto financiero residual (Moderado)</v>
      </c>
      <c r="Q7" s="1" t="s">
        <v>158</v>
      </c>
      <c r="R7" s="1" t="s">
        <v>264</v>
      </c>
      <c r="S7" s="1" t="s">
        <v>265</v>
      </c>
      <c r="T7" s="1" t="s">
        <v>266</v>
      </c>
      <c r="U7" s="1" t="s">
        <v>267</v>
      </c>
      <c r="V7" s="1" t="s">
        <v>268</v>
      </c>
    </row>
    <row r="8" spans="1:22" ht="90" x14ac:dyDescent="0.25">
      <c r="A8" s="20" t="str">
        <f t="shared" ref="A8:A43" si="0">IF($C8="","","RC-"&amp;TEXT(ROW()-7,"00"))</f>
        <v>RC-01</v>
      </c>
      <c r="B8" s="17" t="s">
        <v>176</v>
      </c>
      <c r="C8" s="17" t="s">
        <v>269</v>
      </c>
      <c r="D8" s="17" t="s">
        <v>203</v>
      </c>
      <c r="E8" s="17" t="s">
        <v>80</v>
      </c>
      <c r="F8" s="17" t="s">
        <v>130</v>
      </c>
      <c r="G8" s="21">
        <v>74000</v>
      </c>
      <c r="H8" s="21">
        <v>4</v>
      </c>
      <c r="I8" s="21">
        <v>9</v>
      </c>
      <c r="J8" s="21">
        <v>18</v>
      </c>
      <c r="K8" s="17" t="s">
        <v>270</v>
      </c>
      <c r="L8" s="22">
        <f t="shared" ref="L8:L43" si="1">IF($C8="","",IFERROR(IF(AND(ISNUMBER($G8),ISNUMBER(INDEX($H8:$J8,1,MATCH(EscenarioAnalisis,ListaEscenarios,0))),$K8&lt;&gt;""),IF(INDEX(MetOperacion,MATCH($F8,ListaMetodos,0))="+",$G8+INDEX($H8:$J8,1,MATCH(EscenarioAnalisis,ListaEscenarios,0)),$G8*INDEX($H8:$J8,1,MATCH(EscenarioAnalisis,ListaEscenarios,0))),"Pendiente"),"Pendiente"))</f>
        <v>666000</v>
      </c>
      <c r="M8" s="17" t="s">
        <v>271</v>
      </c>
      <c r="N8" s="21">
        <v>380000</v>
      </c>
      <c r="O8" s="23">
        <v>0.2</v>
      </c>
      <c r="P8" s="22">
        <f t="shared" ref="P8:P43" si="2">IF($C8="","",IF(ISNUMBER($L8),$L8*(1-IF(AND($M8&lt;&gt;"",ISNUMBER($O8)),MIN($O8,TopeEfectividad),0)),"Pendiente"))</f>
        <v>532800</v>
      </c>
      <c r="Q8" s="17" t="s">
        <v>163</v>
      </c>
      <c r="R8" s="24" t="str">
        <f>IF($D8="","",IFERROR(INDEX(ActivoResponsable,MATCH($D8,ActivosFijo,0))&amp;"",""))</f>
        <v>Gerencia de Operaciones</v>
      </c>
      <c r="S8" s="17" t="s">
        <v>272</v>
      </c>
      <c r="T8" s="25">
        <f t="shared" ref="T8:T43" si="3">IF($C8="","",IFERROR(EDATE(FechaEvaluacion,IF($U8="Pendiente",MIN(FrecuenciaRevision),INDEX(FrecuenciaRevision,MATCH($U8,ListaNiveles,0)))),""))</f>
        <v>46476</v>
      </c>
      <c r="U8" s="20" t="str">
        <f t="shared" ref="U8:U43" si="4">IF($C8="","",IF(ISNUMBER($P8),IF($P8&gt;=UmbralCritico,Nivel_Riesgo_4,IF($P8&gt;=UmbralSignificativo,Nivel_Riesgo_3,IF($P8&gt;=UmbralModerado,Nivel_Riesgo_2,Nivel_Riesgo_1))),"Pendiente"))</f>
        <v>Significativo</v>
      </c>
      <c r="V8" s="24" t="str">
        <f>IF($C8="","",IF(COUNTIF(ListaMetodos,$F8)=0,"Revise el método de cuantificación",IF(NOT(AND(ISNUMBER($G8),ISNUMBER(INDEX($H8:$J8,1,MATCH(EscenarioAnalisis,ListaEscenarios,0))))),"Pendiente de datos",IF($K8="","Falta la fuente y el sustento",IF(OR(AND($B8&lt;&gt;"",COUNTIF(ListaTipos,$B8)=0),AND($D8&lt;&gt;"",COUNTIF(ListaActivos,$D8)=0),AND($E8&lt;&gt;"",COUNTIF(ListaHorizontes,$E8)=0),AND($R8&lt;&gt;"",COUNTIF(ListaResponsables,$R8)=0)),"Valor fuera de catálogo",IF(COUNTIFS($D$8:$D$43,$D8,$F$8:$F$43,$F8,$B$8:$B$43,$B8)&gt;1,"Posible doble conteo: revise riesgos similares",IF(AND($Q8="Baja",ISNUMBER($L8),$L8&gt;=UmbralSignificativo),"Revisión prioritaria: impacto alto con confianza baja",IF(AND($M8&lt;&gt;"",NOT(ISNUMBER($O8))),"Falta sustentar la efectividad de la medida",IF($M8="","Sin medida de mitigación",IF($Q8="","Falta el nivel de confianza",IF(ISNUMBER(SEARCH("estimación preliminar",$F8)),"Correcto · estimación preliminar: no es la cifra contable","Correcto")))))))))))</f>
        <v>Correcto</v>
      </c>
    </row>
    <row r="9" spans="1:22" ht="75" x14ac:dyDescent="0.25">
      <c r="A9" s="20" t="str">
        <f t="shared" si="0"/>
        <v>RC-02</v>
      </c>
      <c r="B9" s="17" t="s">
        <v>176</v>
      </c>
      <c r="C9" s="17" t="s">
        <v>273</v>
      </c>
      <c r="D9" s="17" t="s">
        <v>203</v>
      </c>
      <c r="E9" s="17" t="s">
        <v>80</v>
      </c>
      <c r="F9" s="17" t="s">
        <v>126</v>
      </c>
      <c r="G9" s="21">
        <v>38000000</v>
      </c>
      <c r="H9" s="21">
        <v>0.02</v>
      </c>
      <c r="I9" s="21">
        <v>0.06</v>
      </c>
      <c r="J9" s="21">
        <v>0.15</v>
      </c>
      <c r="K9" s="17" t="s">
        <v>274</v>
      </c>
      <c r="L9" s="22">
        <f t="shared" si="1"/>
        <v>2280000</v>
      </c>
      <c r="M9" s="17" t="s">
        <v>275</v>
      </c>
      <c r="N9" s="21">
        <v>520000</v>
      </c>
      <c r="O9" s="23">
        <v>0.7</v>
      </c>
      <c r="P9" s="22">
        <f t="shared" si="2"/>
        <v>684000.00000000012</v>
      </c>
      <c r="Q9" s="17" t="s">
        <v>161</v>
      </c>
      <c r="R9" s="17" t="s">
        <v>215</v>
      </c>
      <c r="S9" s="17" t="s">
        <v>276</v>
      </c>
      <c r="T9" s="25">
        <f t="shared" si="3"/>
        <v>46476</v>
      </c>
      <c r="U9" s="20" t="str">
        <f t="shared" si="4"/>
        <v>Significativo</v>
      </c>
      <c r="V9" s="24" t="str">
        <f>IF($C9="","",IF(COUNTIF(ListaMetodos,$F9)=0,"Revise el método de cuantificación",IF(NOT(AND(ISNUMBER($G9),ISNUMBER(INDEX($H9:$J9,1,MATCH(EscenarioAnalisis,ListaEscenarios,0))))),"Pendiente de datos",IF($K9="","Falta la fuente y el sustento",IF(OR(AND($B9&lt;&gt;"",COUNTIF(ListaTipos,$B9)=0),AND($D9&lt;&gt;"",COUNTIF(ListaActivos,$D9)=0),AND($E9&lt;&gt;"",COUNTIF(ListaHorizontes,$E9)=0),AND($R9&lt;&gt;"",COUNTIF(ListaResponsables,$R9)=0)),"Valor fuera de catálogo",IF(COUNTIFS($D$8:$D$43,$D9,$F$8:$F$43,$F9,$B$8:$B$43,$B9)&gt;1,"Posible doble conteo: revise riesgos similares",IF(AND($Q9="Baja",ISNUMBER($L9),$L9&gt;=UmbralSignificativo),"Revisión prioritaria: impacto alto con confianza baja",IF(AND($M9&lt;&gt;"",NOT(ISNUMBER($O9))),"Falta sustentar la efectividad de la medida",IF($M9="","Sin medida de mitigación",IF($Q9="","Falta el nivel de confianza",IF(ISNUMBER(SEARCH("estimación preliminar",$F9)),"Correcto · estimación preliminar: no es la cifra contable","Correcto")))))))))))</f>
        <v>Correcto</v>
      </c>
    </row>
    <row r="10" spans="1:22" ht="75" x14ac:dyDescent="0.25">
      <c r="A10" s="20" t="str">
        <f t="shared" si="0"/>
        <v>RC-03</v>
      </c>
      <c r="B10" s="17" t="s">
        <v>176</v>
      </c>
      <c r="C10" s="17" t="s">
        <v>277</v>
      </c>
      <c r="D10" s="17" t="s">
        <v>221</v>
      </c>
      <c r="E10" s="17" t="s">
        <v>80</v>
      </c>
      <c r="F10" s="17" t="s">
        <v>122</v>
      </c>
      <c r="G10" s="21">
        <v>12600000</v>
      </c>
      <c r="H10" s="21">
        <v>0.01</v>
      </c>
      <c r="I10" s="21">
        <v>2.5000000000000001E-2</v>
      </c>
      <c r="J10" s="21">
        <v>0.05</v>
      </c>
      <c r="K10" s="17" t="s">
        <v>278</v>
      </c>
      <c r="L10" s="22">
        <f t="shared" si="1"/>
        <v>315000</v>
      </c>
      <c r="M10" s="17" t="s">
        <v>279</v>
      </c>
      <c r="N10" s="21">
        <v>150000</v>
      </c>
      <c r="O10" s="23">
        <v>0.35</v>
      </c>
      <c r="P10" s="22">
        <f t="shared" si="2"/>
        <v>204750</v>
      </c>
      <c r="Q10" s="17" t="s">
        <v>161</v>
      </c>
      <c r="R10" s="24" t="str">
        <f>IF($D10="","",IFERROR(INDEX(ActivoResponsable,MATCH($D10,ActivosFijo,0))&amp;"",""))</f>
        <v>Gerencia de Logística</v>
      </c>
      <c r="S10" s="17" t="s">
        <v>280</v>
      </c>
      <c r="T10" s="25">
        <f t="shared" si="3"/>
        <v>46660</v>
      </c>
      <c r="U10" s="20" t="str">
        <f t="shared" si="4"/>
        <v>Moderado</v>
      </c>
      <c r="V10" s="24" t="str">
        <f>IF($C10="","",IF(COUNTIF(ListaMetodos,$F10)=0,"Revise el método de cuantificación",IF(NOT(AND(ISNUMBER($G10),ISNUMBER(INDEX($H10:$J10,1,MATCH(EscenarioAnalisis,ListaEscenarios,0))))),"Pendiente de datos",IF($K10="","Falta la fuente y el sustento",IF(OR(AND($B10&lt;&gt;"",COUNTIF(ListaTipos,$B10)=0),AND($D10&lt;&gt;"",COUNTIF(ListaActivos,$D10)=0),AND($E10&lt;&gt;"",COUNTIF(ListaHorizontes,$E10)=0),AND($R10&lt;&gt;"",COUNTIF(ListaResponsables,$R10)=0)),"Valor fuera de catálogo",IF(COUNTIFS($D$8:$D$43,$D10,$F$8:$F$43,$F10,$B$8:$B$43,$B10)&gt;1,"Posible doble conteo: revise riesgos similares",IF(AND($Q10="Baja",ISNUMBER($L10),$L10&gt;=UmbralSignificativo),"Revisión prioritaria: impacto alto con confianza baja",IF(AND($M10&lt;&gt;"",NOT(ISNUMBER($O10))),"Falta sustentar la efectividad de la medida",IF($M10="","Sin medida de mitigación",IF($Q10="","Falta el nivel de confianza",IF(ISNUMBER(SEARCH("estimación preliminar",$F10)),"Correcto · estimación preliminar: no es la cifra contable","Correcto")))))))))))</f>
        <v>Correcto</v>
      </c>
    </row>
    <row r="11" spans="1:22" ht="60" x14ac:dyDescent="0.25">
      <c r="A11" s="20" t="str">
        <f t="shared" si="0"/>
        <v>RC-04</v>
      </c>
      <c r="B11" s="17" t="s">
        <v>176</v>
      </c>
      <c r="C11" s="17" t="s">
        <v>281</v>
      </c>
      <c r="D11" s="17" t="s">
        <v>203</v>
      </c>
      <c r="E11" s="17" t="s">
        <v>80</v>
      </c>
      <c r="F11" s="17" t="s">
        <v>122</v>
      </c>
      <c r="G11" s="21">
        <v>14500000</v>
      </c>
      <c r="H11" s="21">
        <v>8.0000000000000002E-3</v>
      </c>
      <c r="I11" s="21">
        <v>0.02</v>
      </c>
      <c r="J11" s="21">
        <v>4.4999999999999998E-2</v>
      </c>
      <c r="K11" s="17" t="s">
        <v>282</v>
      </c>
      <c r="L11" s="22">
        <f t="shared" si="1"/>
        <v>290000</v>
      </c>
      <c r="M11" s="17"/>
      <c r="N11" s="21"/>
      <c r="O11" s="23"/>
      <c r="P11" s="22">
        <f t="shared" si="2"/>
        <v>290000</v>
      </c>
      <c r="Q11" s="17" t="s">
        <v>165</v>
      </c>
      <c r="R11" s="17" t="s">
        <v>223</v>
      </c>
      <c r="S11" s="17" t="s">
        <v>283</v>
      </c>
      <c r="T11" s="25">
        <f t="shared" si="3"/>
        <v>46660</v>
      </c>
      <c r="U11" s="20" t="str">
        <f t="shared" si="4"/>
        <v>Moderado</v>
      </c>
      <c r="V11" s="24" t="str">
        <f>IF($C11="","",IF(COUNTIF(ListaMetodos,$F11)=0,"Revise el método de cuantificación",IF(NOT(AND(ISNUMBER($G11),ISNUMBER(INDEX($H11:$J11,1,MATCH(EscenarioAnalisis,ListaEscenarios,0))))),"Pendiente de datos",IF($K11="","Falta la fuente y el sustento",IF(OR(AND($B11&lt;&gt;"",COUNTIF(ListaTipos,$B11)=0),AND($D11&lt;&gt;"",COUNTIF(ListaActivos,$D11)=0),AND($E11&lt;&gt;"",COUNTIF(ListaHorizontes,$E11)=0),AND($R11&lt;&gt;"",COUNTIF(ListaResponsables,$R11)=0)),"Valor fuera de catálogo",IF(COUNTIFS($D$8:$D$43,$D11,$F$8:$F$43,$F11,$B$8:$B$43,$B11)&gt;1,"Posible doble conteo: revise riesgos similares",IF(AND($Q11="Baja",ISNUMBER($L11),$L11&gt;=UmbralSignificativo),"Revisión prioritaria: impacto alto con confianza baja",IF(AND($M11&lt;&gt;"",NOT(ISNUMBER($O11))),"Falta sustentar la efectividad de la medida",IF($M11="","Sin medida de mitigación",IF($Q11="","Falta el nivel de confianza",IF(ISNUMBER(SEARCH("estimación preliminar",$F11)),"Correcto · estimación preliminar: no es la cifra contable","Correcto")))))))))))</f>
        <v>Sin medida de mitigación</v>
      </c>
    </row>
    <row r="12" spans="1:22" ht="75" x14ac:dyDescent="0.25">
      <c r="A12" s="20" t="str">
        <f t="shared" si="0"/>
        <v>RC-05</v>
      </c>
      <c r="B12" s="17" t="s">
        <v>180</v>
      </c>
      <c r="C12" s="17" t="s">
        <v>284</v>
      </c>
      <c r="D12" s="17" t="s">
        <v>232</v>
      </c>
      <c r="E12" s="17" t="s">
        <v>82</v>
      </c>
      <c r="F12" s="17" t="s">
        <v>130</v>
      </c>
      <c r="G12" s="21">
        <v>120000</v>
      </c>
      <c r="H12" s="21">
        <v>2</v>
      </c>
      <c r="I12" s="21">
        <v>8</v>
      </c>
      <c r="J12" s="21">
        <v>20</v>
      </c>
      <c r="K12" s="17" t="s">
        <v>285</v>
      </c>
      <c r="L12" s="22">
        <f t="shared" si="1"/>
        <v>960000</v>
      </c>
      <c r="M12" s="17" t="s">
        <v>286</v>
      </c>
      <c r="N12" s="21">
        <v>640000</v>
      </c>
      <c r="O12" s="23">
        <v>0.4</v>
      </c>
      <c r="P12" s="22">
        <f t="shared" si="2"/>
        <v>576000</v>
      </c>
      <c r="Q12" s="17" t="s">
        <v>163</v>
      </c>
      <c r="R12" s="17" t="s">
        <v>205</v>
      </c>
      <c r="S12" s="17" t="s">
        <v>287</v>
      </c>
      <c r="T12" s="25">
        <f t="shared" si="3"/>
        <v>46476</v>
      </c>
      <c r="U12" s="20" t="str">
        <f t="shared" si="4"/>
        <v>Significativo</v>
      </c>
      <c r="V12" s="24" t="str">
        <f>IF($C12="","",IF(COUNTIF(ListaMetodos,$F12)=0,"Revise el método de cuantificación",IF(NOT(AND(ISNUMBER($G12),ISNUMBER(INDEX($H12:$J12,1,MATCH(EscenarioAnalisis,ListaEscenarios,0))))),"Pendiente de datos",IF($K12="","Falta la fuente y el sustento",IF(OR(AND($B12&lt;&gt;"",COUNTIF(ListaTipos,$B12)=0),AND($D12&lt;&gt;"",COUNTIF(ListaActivos,$D12)=0),AND($E12&lt;&gt;"",COUNTIF(ListaHorizontes,$E12)=0),AND($R12&lt;&gt;"",COUNTIF(ListaResponsables,$R12)=0)),"Valor fuera de catálogo",IF(COUNTIFS($D$8:$D$43,$D12,$F$8:$F$43,$F12,$B$8:$B$43,$B12)&gt;1,"Posible doble conteo: revise riesgos similares",IF(AND($Q12="Baja",ISNUMBER($L12),$L12&gt;=UmbralSignificativo),"Revisión prioritaria: impacto alto con confianza baja",IF(AND($M12&lt;&gt;"",NOT(ISNUMBER($O12))),"Falta sustentar la efectividad de la medida",IF($M12="","Sin medida de mitigación",IF($Q12="","Falta el nivel de confianza",IF(ISNUMBER(SEARCH("estimación preliminar",$F12)),"Correcto · estimación preliminar: no es la cifra contable","Correcto")))))))))))</f>
        <v>Correcto</v>
      </c>
    </row>
    <row r="13" spans="1:22" ht="60" x14ac:dyDescent="0.25">
      <c r="A13" s="20" t="str">
        <f t="shared" si="0"/>
        <v>RC-06</v>
      </c>
      <c r="B13" s="17" t="s">
        <v>180</v>
      </c>
      <c r="C13" s="17" t="s">
        <v>288</v>
      </c>
      <c r="D13" s="17" t="s">
        <v>208</v>
      </c>
      <c r="E13" s="17" t="s">
        <v>84</v>
      </c>
      <c r="F13" s="17" t="s">
        <v>136</v>
      </c>
      <c r="G13" s="21">
        <v>21000000</v>
      </c>
      <c r="H13" s="21">
        <v>0.02</v>
      </c>
      <c r="I13" s="21">
        <v>0.1</v>
      </c>
      <c r="J13" s="21">
        <v>0.25</v>
      </c>
      <c r="K13" s="17" t="s">
        <v>289</v>
      </c>
      <c r="L13" s="22">
        <f t="shared" si="1"/>
        <v>2100000</v>
      </c>
      <c r="M13" s="17" t="s">
        <v>290</v>
      </c>
      <c r="N13" s="21">
        <v>1200000</v>
      </c>
      <c r="O13" s="23"/>
      <c r="P13" s="22">
        <f t="shared" si="2"/>
        <v>2100000</v>
      </c>
      <c r="Q13" s="17" t="s">
        <v>165</v>
      </c>
      <c r="R13" s="24" t="str">
        <f>IF($D13="","",IFERROR(INDEX(ActivoResponsable,MATCH($D13,ActivosFijo,0))&amp;"",""))</f>
        <v>Gerencia de Proyectos e Ingeniería</v>
      </c>
      <c r="S13" s="17" t="s">
        <v>291</v>
      </c>
      <c r="T13" s="25">
        <f t="shared" si="3"/>
        <v>46386</v>
      </c>
      <c r="U13" s="20" t="str">
        <f t="shared" si="4"/>
        <v>Crítico</v>
      </c>
      <c r="V13" s="24" t="str">
        <f>IF($C13="","",IF(COUNTIF(ListaMetodos,$F13)=0,"Revise el método de cuantificación",IF(NOT(AND(ISNUMBER($G13),ISNUMBER(INDEX($H13:$J13,1,MATCH(EscenarioAnalisis,ListaEscenarios,0))))),"Pendiente de datos",IF($K13="","Falta la fuente y el sustento",IF(OR(AND($B13&lt;&gt;"",COUNTIF(ListaTipos,$B13)=0),AND($D13&lt;&gt;"",COUNTIF(ListaActivos,$D13)=0),AND($E13&lt;&gt;"",COUNTIF(ListaHorizontes,$E13)=0),AND($R13&lt;&gt;"",COUNTIF(ListaResponsables,$R13)=0)),"Valor fuera de catálogo",IF(COUNTIFS($D$8:$D$43,$D13,$F$8:$F$43,$F13,$B$8:$B$43,$B13)&gt;1,"Posible doble conteo: revise riesgos similares",IF(AND($Q13="Baja",ISNUMBER($L13),$L13&gt;=UmbralSignificativo),"Revisión prioritaria: impacto alto con confianza baja",IF(AND($M13&lt;&gt;"",NOT(ISNUMBER($O13))),"Falta sustentar la efectividad de la medida",IF($M13="","Sin medida de mitigación",IF($Q13="","Falta el nivel de confianza",IF(ISNUMBER(SEARCH("estimación preliminar",$F13)),"Correcto · estimación preliminar: no es la cifra contable","Correcto")))))))))))</f>
        <v>Revisión prioritaria: impacto alto con confianza baja</v>
      </c>
    </row>
    <row r="14" spans="1:22" ht="75" x14ac:dyDescent="0.25">
      <c r="A14" s="20" t="str">
        <f t="shared" si="0"/>
        <v>RC-07</v>
      </c>
      <c r="B14" s="17" t="s">
        <v>180</v>
      </c>
      <c r="C14" s="17" t="s">
        <v>292</v>
      </c>
      <c r="D14" s="17" t="s">
        <v>212</v>
      </c>
      <c r="E14" s="17" t="s">
        <v>82</v>
      </c>
      <c r="F14" s="17" t="s">
        <v>122</v>
      </c>
      <c r="G14" s="21">
        <v>34000000</v>
      </c>
      <c r="H14" s="21">
        <v>0.02</v>
      </c>
      <c r="I14" s="21">
        <v>0.05</v>
      </c>
      <c r="J14" s="21">
        <v>0.11</v>
      </c>
      <c r="K14" s="17" t="s">
        <v>293</v>
      </c>
      <c r="L14" s="22">
        <f t="shared" si="1"/>
        <v>1700000</v>
      </c>
      <c r="M14" s="17" t="s">
        <v>294</v>
      </c>
      <c r="N14" s="21">
        <v>300000</v>
      </c>
      <c r="O14" s="23">
        <v>0.3</v>
      </c>
      <c r="P14" s="22">
        <f t="shared" si="2"/>
        <v>1190000</v>
      </c>
      <c r="Q14" s="17" t="s">
        <v>163</v>
      </c>
      <c r="R14" s="24" t="str">
        <f>IF($D14="","",IFERROR(INDEX(ActivoResponsable,MATCH($D14,ActivosFijo,0))&amp;"",""))</f>
        <v>Gerencia de Compras</v>
      </c>
      <c r="S14" s="17" t="s">
        <v>295</v>
      </c>
      <c r="T14" s="25">
        <f t="shared" si="3"/>
        <v>46386</v>
      </c>
      <c r="U14" s="20" t="str">
        <f t="shared" si="4"/>
        <v>Crítico</v>
      </c>
      <c r="V14" s="24" t="str">
        <f>IF($C14="","",IF(COUNTIF(ListaMetodos,$F14)=0,"Revise el método de cuantificación",IF(NOT(AND(ISNUMBER($G14),ISNUMBER(INDEX($H14:$J14,1,MATCH(EscenarioAnalisis,ListaEscenarios,0))))),"Pendiente de datos",IF($K14="","Falta la fuente y el sustento",IF(OR(AND($B14&lt;&gt;"",COUNTIF(ListaTipos,$B14)=0),AND($D14&lt;&gt;"",COUNTIF(ListaActivos,$D14)=0),AND($E14&lt;&gt;"",COUNTIF(ListaHorizontes,$E14)=0),AND($R14&lt;&gt;"",COUNTIF(ListaResponsables,$R14)=0)),"Valor fuera de catálogo",IF(COUNTIFS($D$8:$D$43,$D14,$F$8:$F$43,$F14,$B$8:$B$43,$B14)&gt;1,"Posible doble conteo: revise riesgos similares",IF(AND($Q14="Baja",ISNUMBER($L14),$L14&gt;=UmbralSignificativo),"Revisión prioritaria: impacto alto con confianza baja",IF(AND($M14&lt;&gt;"",NOT(ISNUMBER($O14))),"Falta sustentar la efectividad de la medida",IF($M14="","Sin medida de mitigación",IF($Q14="","Falta el nivel de confianza",IF(ISNUMBER(SEARCH("estimación preliminar",$F14)),"Correcto · estimación preliminar: no es la cifra contable","Correcto")))))))))))</f>
        <v>Correcto</v>
      </c>
    </row>
    <row r="15" spans="1:22" ht="75" x14ac:dyDescent="0.25">
      <c r="A15" s="20" t="str">
        <f t="shared" si="0"/>
        <v>RC-08</v>
      </c>
      <c r="B15" s="17" t="s">
        <v>180</v>
      </c>
      <c r="C15" s="17" t="s">
        <v>296</v>
      </c>
      <c r="D15" s="17" t="s">
        <v>232</v>
      </c>
      <c r="E15" s="17" t="s">
        <v>82</v>
      </c>
      <c r="F15" s="17" t="s">
        <v>122</v>
      </c>
      <c r="G15" s="21">
        <v>6800000</v>
      </c>
      <c r="H15" s="21">
        <v>0.03</v>
      </c>
      <c r="I15" s="21">
        <v>7.0000000000000007E-2</v>
      </c>
      <c r="J15" s="21">
        <v>0.14000000000000001</v>
      </c>
      <c r="K15" s="17" t="s">
        <v>297</v>
      </c>
      <c r="L15" s="22">
        <f t="shared" si="1"/>
        <v>476000.00000000006</v>
      </c>
      <c r="M15" s="17" t="s">
        <v>298</v>
      </c>
      <c r="N15" s="21">
        <v>450000</v>
      </c>
      <c r="O15" s="23">
        <v>0.2</v>
      </c>
      <c r="P15" s="22">
        <f t="shared" si="2"/>
        <v>380800.00000000006</v>
      </c>
      <c r="Q15" s="17" t="s">
        <v>161</v>
      </c>
      <c r="R15" s="24" t="str">
        <f>IF($D15="","",IFERROR(INDEX(ActivoResponsable,MATCH($D15,ActivosFijo,0))&amp;"",""))</f>
        <v>Gerencia de Mantenimiento y Energía</v>
      </c>
      <c r="S15" s="17" t="s">
        <v>299</v>
      </c>
      <c r="T15" s="25">
        <f t="shared" si="3"/>
        <v>46660</v>
      </c>
      <c r="U15" s="20" t="str">
        <f t="shared" si="4"/>
        <v>Moderado</v>
      </c>
      <c r="V15" s="24" t="str">
        <f>IF($C15="","",IF(COUNTIF(ListaMetodos,$F15)=0,"Revise el método de cuantificación",IF(NOT(AND(ISNUMBER($G15),ISNUMBER(INDEX($H15:$J15,1,MATCH(EscenarioAnalisis,ListaEscenarios,0))))),"Pendiente de datos",IF($K15="","Falta la fuente y el sustento",IF(OR(AND($B15&lt;&gt;"",COUNTIF(ListaTipos,$B15)=0),AND($D15&lt;&gt;"",COUNTIF(ListaActivos,$D15)=0),AND($E15&lt;&gt;"",COUNTIF(ListaHorizontes,$E15)=0),AND($R15&lt;&gt;"",COUNTIF(ListaResponsables,$R15)=0)),"Valor fuera de catálogo",IF(COUNTIFS($D$8:$D$43,$D15,$F$8:$F$43,$F15,$B$8:$B$43,$B15)&gt;1,"Posible doble conteo: revise riesgos similares",IF(AND($Q15="Baja",ISNUMBER($L15),$L15&gt;=UmbralSignificativo),"Revisión prioritaria: impacto alto con confianza baja",IF(AND($M15&lt;&gt;"",NOT(ISNUMBER($O15))),"Falta sustentar la efectividad de la medida",IF($M15="","Sin medida de mitigación",IF($Q15="","Falta el nivel de confianza",IF(ISNUMBER(SEARCH("estimación preliminar",$F15)),"Correcto · estimación preliminar: no es la cifra contable","Correcto")))))))))))</f>
        <v>Correcto</v>
      </c>
    </row>
    <row r="16" spans="1:22" ht="90" x14ac:dyDescent="0.25">
      <c r="A16" s="20" t="str">
        <f t="shared" si="0"/>
        <v>RC-09</v>
      </c>
      <c r="B16" s="17" t="s">
        <v>183</v>
      </c>
      <c r="C16" s="17" t="s">
        <v>300</v>
      </c>
      <c r="D16" s="17" t="s">
        <v>225</v>
      </c>
      <c r="E16" s="17" t="s">
        <v>82</v>
      </c>
      <c r="F16" s="17" t="s">
        <v>139</v>
      </c>
      <c r="G16" s="21">
        <v>68000</v>
      </c>
      <c r="H16" s="21">
        <v>5</v>
      </c>
      <c r="I16" s="21">
        <v>25</v>
      </c>
      <c r="J16" s="21">
        <v>60</v>
      </c>
      <c r="K16" s="17" t="s">
        <v>301</v>
      </c>
      <c r="L16" s="22">
        <f t="shared" si="1"/>
        <v>1700000</v>
      </c>
      <c r="M16" s="17" t="s">
        <v>302</v>
      </c>
      <c r="N16" s="21"/>
      <c r="O16" s="23">
        <v>0.15</v>
      </c>
      <c r="P16" s="22">
        <f t="shared" si="2"/>
        <v>1445000</v>
      </c>
      <c r="Q16" s="17" t="s">
        <v>165</v>
      </c>
      <c r="R16" s="17" t="s">
        <v>238</v>
      </c>
      <c r="S16" s="17" t="s">
        <v>303</v>
      </c>
      <c r="T16" s="25">
        <f t="shared" si="3"/>
        <v>46386</v>
      </c>
      <c r="U16" s="20" t="str">
        <f t="shared" si="4"/>
        <v>Crítico</v>
      </c>
      <c r="V16" s="24" t="str">
        <f>IF($C16="","",IF(COUNTIF(ListaMetodos,$F16)=0,"Revise el método de cuantificación",IF(NOT(AND(ISNUMBER($G16),ISNUMBER(INDEX($H16:$J16,1,MATCH(EscenarioAnalisis,ListaEscenarios,0))))),"Pendiente de datos",IF($K16="","Falta la fuente y el sustento",IF(OR(AND($B16&lt;&gt;"",COUNTIF(ListaTipos,$B16)=0),AND($D16&lt;&gt;"",COUNTIF(ListaActivos,$D16)=0),AND($E16&lt;&gt;"",COUNTIF(ListaHorizontes,$E16)=0),AND($R16&lt;&gt;"",COUNTIF(ListaResponsables,$R16)=0)),"Valor fuera de catálogo",IF(COUNTIFS($D$8:$D$43,$D16,$F$8:$F$43,$F16,$B$8:$B$43,$B16)&gt;1,"Posible doble conteo: revise riesgos similares",IF(AND($Q16="Baja",ISNUMBER($L16),$L16&gt;=UmbralSignificativo),"Revisión prioritaria: impacto alto con confianza baja",IF(AND($M16&lt;&gt;"",NOT(ISNUMBER($O16))),"Falta sustentar la efectividad de la medida",IF($M16="","Sin medida de mitigación",IF($Q16="","Falta el nivel de confianza",IF(ISNUMBER(SEARCH("estimación preliminar",$F16)),"Correcto · estimación preliminar: no es la cifra contable","Correcto")))))))))))</f>
        <v>Revisión prioritaria: impacto alto con confianza baja</v>
      </c>
    </row>
    <row r="17" spans="1:22" ht="90" x14ac:dyDescent="0.25">
      <c r="A17" s="20" t="str">
        <f t="shared" si="0"/>
        <v>RC-10</v>
      </c>
      <c r="B17" s="17" t="s">
        <v>183</v>
      </c>
      <c r="C17" s="17" t="s">
        <v>304</v>
      </c>
      <c r="D17" s="17" t="s">
        <v>247</v>
      </c>
      <c r="E17" s="17" t="s">
        <v>80</v>
      </c>
      <c r="F17" s="17" t="s">
        <v>143</v>
      </c>
      <c r="G17" s="21">
        <v>280000</v>
      </c>
      <c r="H17" s="21">
        <v>1</v>
      </c>
      <c r="I17" s="21">
        <v>1.25</v>
      </c>
      <c r="J17" s="21">
        <v>1.71</v>
      </c>
      <c r="K17" s="17" t="s">
        <v>305</v>
      </c>
      <c r="L17" s="22">
        <f t="shared" si="1"/>
        <v>350000</v>
      </c>
      <c r="M17" s="17" t="s">
        <v>306</v>
      </c>
      <c r="N17" s="21">
        <v>70000</v>
      </c>
      <c r="O17" s="23">
        <v>0.15</v>
      </c>
      <c r="P17" s="22">
        <f t="shared" si="2"/>
        <v>297500</v>
      </c>
      <c r="Q17" s="17" t="s">
        <v>161</v>
      </c>
      <c r="R17" s="24" t="str">
        <f>IF($D17="","",IFERROR(INDEX(ActivoResponsable,MATCH($D17,ActivosFijo,0))&amp;"",""))</f>
        <v>Gerencia Financiera</v>
      </c>
      <c r="S17" s="17" t="s">
        <v>307</v>
      </c>
      <c r="T17" s="25">
        <f t="shared" si="3"/>
        <v>46660</v>
      </c>
      <c r="U17" s="20" t="str">
        <f t="shared" si="4"/>
        <v>Moderado</v>
      </c>
      <c r="V17" s="24" t="str">
        <f>IF($C17="","",IF(COUNTIF(ListaMetodos,$F17)=0,"Revise el método de cuantificación",IF(NOT(AND(ISNUMBER($G17),ISNUMBER(INDEX($H17:$J17,1,MATCH(EscenarioAnalisis,ListaEscenarios,0))))),"Pendiente de datos",IF($K17="","Falta la fuente y el sustento",IF(OR(AND($B17&lt;&gt;"",COUNTIF(ListaTipos,$B17)=0),AND($D17&lt;&gt;"",COUNTIF(ListaActivos,$D17)=0),AND($E17&lt;&gt;"",COUNTIF(ListaHorizontes,$E17)=0),AND($R17&lt;&gt;"",COUNTIF(ListaResponsables,$R17)=0)),"Valor fuera de catálogo",IF(COUNTIFS($D$8:$D$43,$D17,$F$8:$F$43,$F17,$B$8:$B$43,$B17)&gt;1,"Posible doble conteo: revise riesgos similares",IF(AND($Q17="Baja",ISNUMBER($L17),$L17&gt;=UmbralSignificativo),"Revisión prioritaria: impacto alto con confianza baja",IF(AND($M17&lt;&gt;"",NOT(ISNUMBER($O17))),"Falta sustentar la efectividad de la medida",IF($M17="","Sin medida de mitigación",IF($Q17="","Falta el nivel de confianza",IF(ISNUMBER(SEARCH("estimación preliminar",$F17)),"Correcto · estimación preliminar: no es la cifra contable","Correcto")))))))))))</f>
        <v>Correcto</v>
      </c>
    </row>
    <row r="18" spans="1:22" ht="75" x14ac:dyDescent="0.25">
      <c r="A18" s="20" t="str">
        <f t="shared" si="0"/>
        <v>RC-11</v>
      </c>
      <c r="B18" s="17" t="s">
        <v>183</v>
      </c>
      <c r="C18" s="17" t="s">
        <v>308</v>
      </c>
      <c r="D18" s="17" t="s">
        <v>247</v>
      </c>
      <c r="E18" s="17" t="s">
        <v>82</v>
      </c>
      <c r="F18" s="17" t="s">
        <v>152</v>
      </c>
      <c r="G18" s="21"/>
      <c r="H18" s="21"/>
      <c r="I18" s="22" t="str">
        <f>IF(AND(ISNUMBER($H18),ISNUMBER(FactorModerado)),$H18*FactorModerado,"")</f>
        <v/>
      </c>
      <c r="J18" s="22" t="str">
        <f>IF(AND(ISNUMBER($H18),ISNUMBER(FactorSevero)),$H18*FactorSevero,"")</f>
        <v/>
      </c>
      <c r="K18" s="17"/>
      <c r="L18" s="22" t="str">
        <f t="shared" si="1"/>
        <v>Pendiente</v>
      </c>
      <c r="M18" s="17" t="s">
        <v>309</v>
      </c>
      <c r="N18" s="21">
        <v>90000</v>
      </c>
      <c r="O18" s="23"/>
      <c r="P18" s="22" t="str">
        <f t="shared" si="2"/>
        <v>Pendiente</v>
      </c>
      <c r="Q18" s="17"/>
      <c r="R18" s="17" t="s">
        <v>246</v>
      </c>
      <c r="S18" s="17" t="s">
        <v>310</v>
      </c>
      <c r="T18" s="25">
        <f t="shared" si="3"/>
        <v>46386</v>
      </c>
      <c r="U18" s="20" t="str">
        <f t="shared" si="4"/>
        <v>Pendiente</v>
      </c>
      <c r="V18" s="24" t="str">
        <f>IF($C18="","",IF(COUNTIF(ListaMetodos,$F18)=0,"Revise el método de cuantificación",IF(NOT(AND(ISNUMBER($G18),ISNUMBER(INDEX($H18:$J18,1,MATCH(EscenarioAnalisis,ListaEscenarios,0))))),"Pendiente de datos",IF($K18="","Falta la fuente y el sustento",IF(OR(AND($B18&lt;&gt;"",COUNTIF(ListaTipos,$B18)=0),AND($D18&lt;&gt;"",COUNTIF(ListaActivos,$D18)=0),AND($E18&lt;&gt;"",COUNTIF(ListaHorizontes,$E18)=0),AND($R18&lt;&gt;"",COUNTIF(ListaResponsables,$R18)=0)),"Valor fuera de catálogo",IF(COUNTIFS($D$8:$D$43,$D18,$F$8:$F$43,$F18,$B$8:$B$43,$B18)&gt;1,"Posible doble conteo: revise riesgos similares",IF(AND($Q18="Baja",ISNUMBER($L18),$L18&gt;=UmbralSignificativo),"Revisión prioritaria: impacto alto con confianza baja",IF(AND($M18&lt;&gt;"",NOT(ISNUMBER($O18))),"Falta sustentar la efectividad de la medida",IF($M18="","Sin medida de mitigación",IF($Q18="","Falta el nivel de confianza",IF(ISNUMBER(SEARCH("estimación preliminar",$F18)),"Correcto · estimación preliminar: no es la cifra contable","Correcto")))))))))))</f>
        <v>Pendiente de datos</v>
      </c>
    </row>
    <row r="19" spans="1:22" ht="75" x14ac:dyDescent="0.25">
      <c r="A19" s="20" t="str">
        <f t="shared" si="0"/>
        <v>RC-12</v>
      </c>
      <c r="B19" s="17" t="s">
        <v>183</v>
      </c>
      <c r="C19" s="17" t="s">
        <v>311</v>
      </c>
      <c r="D19" s="17" t="s">
        <v>225</v>
      </c>
      <c r="E19" s="17" t="s">
        <v>82</v>
      </c>
      <c r="F19" s="17" t="s">
        <v>115</v>
      </c>
      <c r="G19" s="21">
        <v>24000000</v>
      </c>
      <c r="H19" s="21">
        <v>0.01</v>
      </c>
      <c r="I19" s="21">
        <v>0.04</v>
      </c>
      <c r="J19" s="21">
        <v>0.12</v>
      </c>
      <c r="K19" s="17" t="s">
        <v>312</v>
      </c>
      <c r="L19" s="22">
        <f t="shared" si="1"/>
        <v>960000</v>
      </c>
      <c r="M19" s="17" t="s">
        <v>313</v>
      </c>
      <c r="N19" s="21">
        <v>110000</v>
      </c>
      <c r="O19" s="23">
        <v>0.25</v>
      </c>
      <c r="P19" s="22">
        <f t="shared" si="2"/>
        <v>720000</v>
      </c>
      <c r="Q19" s="17" t="s">
        <v>163</v>
      </c>
      <c r="R19" s="24" t="str">
        <f>IF($D19="","",IFERROR(INDEX(ActivoResponsable,MATCH($D19,ActivosFijo,0))&amp;"",""))</f>
        <v>Gerencia de Operaciones</v>
      </c>
      <c r="S19" s="17" t="s">
        <v>314</v>
      </c>
      <c r="T19" s="25">
        <f t="shared" si="3"/>
        <v>46476</v>
      </c>
      <c r="U19" s="20" t="str">
        <f t="shared" si="4"/>
        <v>Significativo</v>
      </c>
      <c r="V19" s="24" t="str">
        <f>IF($C19="","",IF(COUNTIF(ListaMetodos,$F19)=0,"Revise el método de cuantificación",IF(NOT(AND(ISNUMBER($G19),ISNUMBER(INDEX($H19:$J19,1,MATCH(EscenarioAnalisis,ListaEscenarios,0))))),"Pendiente de datos",IF($K19="","Falta la fuente y el sustento",IF(OR(AND($B19&lt;&gt;"",COUNTIF(ListaTipos,$B19)=0),AND($D19&lt;&gt;"",COUNTIF(ListaActivos,$D19)=0),AND($E19&lt;&gt;"",COUNTIF(ListaHorizontes,$E19)=0),AND($R19&lt;&gt;"",COUNTIF(ListaResponsables,$R19)=0)),"Valor fuera de catálogo",IF(COUNTIFS($D$8:$D$43,$D19,$F$8:$F$43,$F19,$B$8:$B$43,$B19)&gt;1,"Posible doble conteo: revise riesgos similares",IF(AND($Q19="Baja",ISNUMBER($L19),$L19&gt;=UmbralSignificativo),"Revisión prioritaria: impacto alto con confianza baja",IF(AND($M19&lt;&gt;"",NOT(ISNUMBER($O19))),"Falta sustentar la efectividad de la medida",IF($M19="","Sin medida de mitigación",IF($Q19="","Falta el nivel de confianza",IF(ISNUMBER(SEARCH("estimación preliminar",$F19)),"Correcto · estimación preliminar: no es la cifra contable","Correcto")))))))))))</f>
        <v>Correcto</v>
      </c>
    </row>
    <row r="20" spans="1:22" ht="60" x14ac:dyDescent="0.25">
      <c r="A20" s="20" t="str">
        <f t="shared" si="0"/>
        <v>RC-13</v>
      </c>
      <c r="B20" s="17" t="s">
        <v>187</v>
      </c>
      <c r="C20" s="17" t="s">
        <v>315</v>
      </c>
      <c r="D20" s="17" t="s">
        <v>225</v>
      </c>
      <c r="E20" s="17" t="s">
        <v>84</v>
      </c>
      <c r="F20" s="17" t="s">
        <v>136</v>
      </c>
      <c r="G20" s="21">
        <v>9500000</v>
      </c>
      <c r="H20" s="21">
        <v>0.05</v>
      </c>
      <c r="I20" s="21">
        <v>0.2</v>
      </c>
      <c r="J20" s="21">
        <v>0.45</v>
      </c>
      <c r="K20" s="17" t="s">
        <v>316</v>
      </c>
      <c r="L20" s="22">
        <f t="shared" si="1"/>
        <v>1900000</v>
      </c>
      <c r="M20" s="17" t="s">
        <v>317</v>
      </c>
      <c r="N20" s="21">
        <v>40000</v>
      </c>
      <c r="O20" s="23">
        <v>0.1</v>
      </c>
      <c r="P20" s="22">
        <f t="shared" si="2"/>
        <v>1710000</v>
      </c>
      <c r="Q20" s="17" t="s">
        <v>163</v>
      </c>
      <c r="R20" s="17" t="s">
        <v>242</v>
      </c>
      <c r="S20" s="17" t="s">
        <v>318</v>
      </c>
      <c r="T20" s="25">
        <f t="shared" si="3"/>
        <v>46386</v>
      </c>
      <c r="U20" s="20" t="str">
        <f t="shared" si="4"/>
        <v>Crítico</v>
      </c>
      <c r="V20" s="24" t="str">
        <f>IF($C20="","",IF(COUNTIF(ListaMetodos,$F20)=0,"Revise el método de cuantificación",IF(NOT(AND(ISNUMBER($G20),ISNUMBER(INDEX($H20:$J20,1,MATCH(EscenarioAnalisis,ListaEscenarios,0))))),"Pendiente de datos",IF($K20="","Falta la fuente y el sustento",IF(OR(AND($B20&lt;&gt;"",COUNTIF(ListaTipos,$B20)=0),AND($D20&lt;&gt;"",COUNTIF(ListaActivos,$D20)=0),AND($E20&lt;&gt;"",COUNTIF(ListaHorizontes,$E20)=0),AND($R20&lt;&gt;"",COUNTIF(ListaResponsables,$R20)=0)),"Valor fuera de catálogo",IF(COUNTIFS($D$8:$D$43,$D20,$F$8:$F$43,$F20,$B$8:$B$43,$B20)&gt;1,"Posible doble conteo: revise riesgos similares",IF(AND($Q20="Baja",ISNUMBER($L20),$L20&gt;=UmbralSignificativo),"Revisión prioritaria: impacto alto con confianza baja",IF(AND($M20&lt;&gt;"",NOT(ISNUMBER($O20))),"Falta sustentar la efectividad de la medida",IF($M20="","Sin medida de mitigación",IF($Q20="","Falta el nivel de confianza",IF(ISNUMBER(SEARCH("estimación preliminar",$F20)),"Correcto · estimación preliminar: no es la cifra contable","Correcto")))))))))))</f>
        <v>Correcto · estimación preliminar: no es la cifra contable</v>
      </c>
    </row>
    <row r="21" spans="1:22" ht="90" x14ac:dyDescent="0.25">
      <c r="A21" s="20" t="str">
        <f t="shared" si="0"/>
        <v>RC-14</v>
      </c>
      <c r="B21" s="17" t="s">
        <v>187</v>
      </c>
      <c r="C21" s="17" t="s">
        <v>319</v>
      </c>
      <c r="D21" s="17" t="s">
        <v>225</v>
      </c>
      <c r="E21" s="17" t="s">
        <v>82</v>
      </c>
      <c r="F21" s="17" t="s">
        <v>143</v>
      </c>
      <c r="G21" s="21">
        <v>2500000</v>
      </c>
      <c r="H21" s="21">
        <v>1</v>
      </c>
      <c r="I21" s="21">
        <v>2</v>
      </c>
      <c r="J21" s="21">
        <v>3.6</v>
      </c>
      <c r="K21" s="17" t="s">
        <v>320</v>
      </c>
      <c r="L21" s="22">
        <f t="shared" si="1"/>
        <v>5000000</v>
      </c>
      <c r="M21" s="17" t="s">
        <v>321</v>
      </c>
      <c r="N21" s="21"/>
      <c r="O21" s="23">
        <v>0.05</v>
      </c>
      <c r="P21" s="22">
        <f t="shared" si="2"/>
        <v>4750000</v>
      </c>
      <c r="Q21" s="17" t="s">
        <v>165</v>
      </c>
      <c r="R21" s="17" t="s">
        <v>210</v>
      </c>
      <c r="S21" s="17" t="s">
        <v>322</v>
      </c>
      <c r="T21" s="25">
        <f t="shared" si="3"/>
        <v>46386</v>
      </c>
      <c r="U21" s="20" t="str">
        <f t="shared" si="4"/>
        <v>Crítico</v>
      </c>
      <c r="V21" s="24" t="str">
        <f>IF($C21="","",IF(COUNTIF(ListaMetodos,$F21)=0,"Revise el método de cuantificación",IF(NOT(AND(ISNUMBER($G21),ISNUMBER(INDEX($H21:$J21,1,MATCH(EscenarioAnalisis,ListaEscenarios,0))))),"Pendiente de datos",IF($K21="","Falta la fuente y el sustento",IF(OR(AND($B21&lt;&gt;"",COUNTIF(ListaTipos,$B21)=0),AND($D21&lt;&gt;"",COUNTIF(ListaActivos,$D21)=0),AND($E21&lt;&gt;"",COUNTIF(ListaHorizontes,$E21)=0),AND($R21&lt;&gt;"",COUNTIF(ListaResponsables,$R21)=0)),"Valor fuera de catálogo",IF(COUNTIFS($D$8:$D$43,$D21,$F$8:$F$43,$F21,$B$8:$B$43,$B21)&gt;1,"Posible doble conteo: revise riesgos similares",IF(AND($Q21="Baja",ISNUMBER($L21),$L21&gt;=UmbralSignificativo),"Revisión prioritaria: impacto alto con confianza baja",IF(AND($M21&lt;&gt;"",NOT(ISNUMBER($O21))),"Falta sustentar la efectividad de la medida",IF($M21="","Sin medida de mitigación",IF($Q21="","Falta el nivel de confianza",IF(ISNUMBER(SEARCH("estimación preliminar",$F21)),"Correcto · estimación preliminar: no es la cifra contable","Correcto")))))))))))</f>
        <v>Revisión prioritaria: impacto alto con confianza baja</v>
      </c>
    </row>
    <row r="22" spans="1:22" ht="60" x14ac:dyDescent="0.25">
      <c r="A22" s="20" t="str">
        <f t="shared" si="0"/>
        <v>RC-15</v>
      </c>
      <c r="B22" s="17" t="s">
        <v>187</v>
      </c>
      <c r="C22" s="17" t="s">
        <v>323</v>
      </c>
      <c r="D22" s="17" t="s">
        <v>228</v>
      </c>
      <c r="E22" s="17" t="s">
        <v>82</v>
      </c>
      <c r="F22" s="17" t="s">
        <v>136</v>
      </c>
      <c r="G22" s="21">
        <v>5200000</v>
      </c>
      <c r="H22" s="21">
        <v>0.1</v>
      </c>
      <c r="I22" s="21">
        <v>0.3</v>
      </c>
      <c r="J22" s="21">
        <v>0.6</v>
      </c>
      <c r="K22" s="17" t="s">
        <v>324</v>
      </c>
      <c r="L22" s="22">
        <f t="shared" si="1"/>
        <v>1560000</v>
      </c>
      <c r="M22" s="17" t="s">
        <v>325</v>
      </c>
      <c r="N22" s="21">
        <v>260000</v>
      </c>
      <c r="O22" s="23">
        <v>0.4</v>
      </c>
      <c r="P22" s="22">
        <f t="shared" si="2"/>
        <v>936000</v>
      </c>
      <c r="Q22" s="17" t="s">
        <v>163</v>
      </c>
      <c r="R22" s="24" t="str">
        <f>IF($D22="","",IFERROR(INDEX(ActivoResponsable,MATCH($D22,ActivosFijo,0))&amp;"",""))</f>
        <v>Gerencia de Mantenimiento y Energía</v>
      </c>
      <c r="S22" s="17" t="s">
        <v>326</v>
      </c>
      <c r="T22" s="25">
        <f t="shared" si="3"/>
        <v>46476</v>
      </c>
      <c r="U22" s="20" t="str">
        <f t="shared" si="4"/>
        <v>Significativo</v>
      </c>
      <c r="V22" s="24" t="str">
        <f>IF($C22="","",IF(COUNTIF(ListaMetodos,$F22)=0,"Revise el método de cuantificación",IF(NOT(AND(ISNUMBER($G22),ISNUMBER(INDEX($H22:$J22,1,MATCH(EscenarioAnalisis,ListaEscenarios,0))))),"Pendiente de datos",IF($K22="","Falta la fuente y el sustento",IF(OR(AND($B22&lt;&gt;"",COUNTIF(ListaTipos,$B22)=0),AND($D22&lt;&gt;"",COUNTIF(ListaActivos,$D22)=0),AND($E22&lt;&gt;"",COUNTIF(ListaHorizontes,$E22)=0),AND($R22&lt;&gt;"",COUNTIF(ListaResponsables,$R22)=0)),"Valor fuera de catálogo",IF(COUNTIFS($D$8:$D$43,$D22,$F$8:$F$43,$F22,$B$8:$B$43,$B22)&gt;1,"Posible doble conteo: revise riesgos similares",IF(AND($Q22="Baja",ISNUMBER($L22),$L22&gt;=UmbralSignificativo),"Revisión prioritaria: impacto alto con confianza baja",IF(AND($M22&lt;&gt;"",NOT(ISNUMBER($O22))),"Falta sustentar la efectividad de la medida",IF($M22="","Sin medida de mitigación",IF($Q22="","Falta el nivel de confianza",IF(ISNUMBER(SEARCH("estimación preliminar",$F22)),"Correcto · estimación preliminar: no es la cifra contable","Correcto")))))))))))</f>
        <v>Correcto · estimación preliminar: no es la cifra contable</v>
      </c>
    </row>
    <row r="23" spans="1:22" ht="75" x14ac:dyDescent="0.25">
      <c r="A23" s="20" t="str">
        <f t="shared" si="0"/>
        <v>RC-16</v>
      </c>
      <c r="B23" s="17" t="s">
        <v>187</v>
      </c>
      <c r="C23" s="17" t="s">
        <v>327</v>
      </c>
      <c r="D23" s="17" t="s">
        <v>228</v>
      </c>
      <c r="E23" s="17" t="s">
        <v>80</v>
      </c>
      <c r="F23" s="17" t="s">
        <v>122</v>
      </c>
      <c r="G23" s="21">
        <v>11000000</v>
      </c>
      <c r="H23" s="21">
        <v>0.02</v>
      </c>
      <c r="I23" s="21">
        <v>0.06</v>
      </c>
      <c r="J23" s="21">
        <v>0.12</v>
      </c>
      <c r="K23" s="17" t="s">
        <v>328</v>
      </c>
      <c r="L23" s="22">
        <f t="shared" si="1"/>
        <v>660000</v>
      </c>
      <c r="M23" s="17" t="s">
        <v>329</v>
      </c>
      <c r="N23" s="21">
        <v>180000</v>
      </c>
      <c r="O23" s="23">
        <v>0.15</v>
      </c>
      <c r="P23" s="22">
        <f t="shared" si="2"/>
        <v>561000</v>
      </c>
      <c r="Q23" s="17" t="s">
        <v>163</v>
      </c>
      <c r="R23" s="17" t="s">
        <v>249</v>
      </c>
      <c r="S23" s="17" t="s">
        <v>330</v>
      </c>
      <c r="T23" s="25">
        <f t="shared" si="3"/>
        <v>46476</v>
      </c>
      <c r="U23" s="20" t="str">
        <f t="shared" si="4"/>
        <v>Significativo</v>
      </c>
      <c r="V23" s="24" t="str">
        <f>IF($C23="","",IF(COUNTIF(ListaMetodos,$F23)=0,"Revise el método de cuantificación",IF(NOT(AND(ISNUMBER($G23),ISNUMBER(INDEX($H23:$J23,1,MATCH(EscenarioAnalisis,ListaEscenarios,0))))),"Pendiente de datos",IF($K23="","Falta la fuente y el sustento",IF(OR(AND($B23&lt;&gt;"",COUNTIF(ListaTipos,$B23)=0),AND($D23&lt;&gt;"",COUNTIF(ListaActivos,$D23)=0),AND($E23&lt;&gt;"",COUNTIF(ListaHorizontes,$E23)=0),AND($R23&lt;&gt;"",COUNTIF(ListaResponsables,$R23)=0)),"Valor fuera de catálogo",IF(COUNTIFS($D$8:$D$43,$D23,$F$8:$F$43,$F23,$B$8:$B$43,$B23)&gt;1,"Posible doble conteo: revise riesgos similares",IF(AND($Q23="Baja",ISNUMBER($L23),$L23&gt;=UmbralSignificativo),"Revisión prioritaria: impacto alto con confianza baja",IF(AND($M23&lt;&gt;"",NOT(ISNUMBER($O23))),"Falta sustentar la efectividad de la medida",IF($M23="","Sin medida de mitigación",IF($Q23="","Falta el nivel de confianza",IF(ISNUMBER(SEARCH("estimación preliminar",$F23)),"Correcto · estimación preliminar: no es la cifra contable","Correcto")))))))))))</f>
        <v>Correcto</v>
      </c>
    </row>
    <row r="24" spans="1:22" ht="60" x14ac:dyDescent="0.25">
      <c r="A24" s="20" t="str">
        <f t="shared" si="0"/>
        <v>RC-17</v>
      </c>
      <c r="B24" s="17" t="s">
        <v>190</v>
      </c>
      <c r="C24" s="17" t="s">
        <v>331</v>
      </c>
      <c r="D24" s="17" t="s">
        <v>235</v>
      </c>
      <c r="E24" s="17" t="s">
        <v>82</v>
      </c>
      <c r="F24" s="17" t="s">
        <v>115</v>
      </c>
      <c r="G24" s="21">
        <v>46000000</v>
      </c>
      <c r="H24" s="21">
        <v>0.01</v>
      </c>
      <c r="I24" s="21">
        <v>0.04</v>
      </c>
      <c r="J24" s="21">
        <v>0.1</v>
      </c>
      <c r="K24" s="17" t="s">
        <v>332</v>
      </c>
      <c r="L24" s="22">
        <f t="shared" si="1"/>
        <v>1840000</v>
      </c>
      <c r="M24" s="17" t="s">
        <v>333</v>
      </c>
      <c r="N24" s="21">
        <v>600000</v>
      </c>
      <c r="O24" s="23">
        <v>0.15</v>
      </c>
      <c r="P24" s="22">
        <f t="shared" si="2"/>
        <v>1564000</v>
      </c>
      <c r="Q24" s="17" t="s">
        <v>165</v>
      </c>
      <c r="R24" s="24" t="str">
        <f>IF($D24="","",IFERROR(INDEX(ActivoResponsable,MATCH($D24,ActivosFijo,0))&amp;"",""))</f>
        <v>Gerencia Comercial</v>
      </c>
      <c r="S24" s="17" t="s">
        <v>334</v>
      </c>
      <c r="T24" s="25">
        <f t="shared" si="3"/>
        <v>46386</v>
      </c>
      <c r="U24" s="20" t="str">
        <f t="shared" si="4"/>
        <v>Crítico</v>
      </c>
      <c r="V24" s="24" t="str">
        <f>IF($C24="","",IF(COUNTIF(ListaMetodos,$F24)=0,"Revise el método de cuantificación",IF(NOT(AND(ISNUMBER($G24),ISNUMBER(INDEX($H24:$J24,1,MATCH(EscenarioAnalisis,ListaEscenarios,0))))),"Pendiente de datos",IF($K24="","Falta la fuente y el sustento",IF(OR(AND($B24&lt;&gt;"",COUNTIF(ListaTipos,$B24)=0),AND($D24&lt;&gt;"",COUNTIF(ListaActivos,$D24)=0),AND($E24&lt;&gt;"",COUNTIF(ListaHorizontes,$E24)=0),AND($R24&lt;&gt;"",COUNTIF(ListaResponsables,$R24)=0)),"Valor fuera de catálogo",IF(COUNTIFS($D$8:$D$43,$D24,$F$8:$F$43,$F24,$B$8:$B$43,$B24)&gt;1,"Posible doble conteo: revise riesgos similares",IF(AND($Q24="Baja",ISNUMBER($L24),$L24&gt;=UmbralSignificativo),"Revisión prioritaria: impacto alto con confianza baja",IF(AND($M24&lt;&gt;"",NOT(ISNUMBER($O24))),"Falta sustentar la efectividad de la medida",IF($M24="","Sin medida de mitigación",IF($Q24="","Falta el nivel de confianza",IF(ISNUMBER(SEARCH("estimación preliminar",$F24)),"Correcto · estimación preliminar: no es la cifra contable","Correcto")))))))))))</f>
        <v>Revisión prioritaria: impacto alto con confianza baja</v>
      </c>
    </row>
    <row r="25" spans="1:22" ht="75" x14ac:dyDescent="0.25">
      <c r="A25" s="20" t="str">
        <f t="shared" si="0"/>
        <v>RC-18</v>
      </c>
      <c r="B25" s="17" t="s">
        <v>190</v>
      </c>
      <c r="C25" s="17" t="s">
        <v>335</v>
      </c>
      <c r="D25" s="17" t="s">
        <v>240</v>
      </c>
      <c r="E25" s="17" t="s">
        <v>80</v>
      </c>
      <c r="F25" s="17" t="s">
        <v>115</v>
      </c>
      <c r="G25" s="21">
        <v>31000000</v>
      </c>
      <c r="H25" s="21">
        <v>0.02</v>
      </c>
      <c r="I25" s="21">
        <v>0.06</v>
      </c>
      <c r="J25" s="21">
        <v>0.15</v>
      </c>
      <c r="K25" s="17" t="s">
        <v>336</v>
      </c>
      <c r="L25" s="22">
        <f t="shared" si="1"/>
        <v>1860000</v>
      </c>
      <c r="M25" s="17" t="s">
        <v>337</v>
      </c>
      <c r="N25" s="21">
        <v>95000</v>
      </c>
      <c r="O25" s="23">
        <v>0.5</v>
      </c>
      <c r="P25" s="22">
        <f t="shared" si="2"/>
        <v>930000</v>
      </c>
      <c r="Q25" s="17" t="s">
        <v>163</v>
      </c>
      <c r="R25" s="24" t="str">
        <f>IF($D25="","",IFERROR(INDEX(ActivoResponsable,MATCH($D25,ActivosFijo,0))&amp;"",""))</f>
        <v>Gerencia Comercial</v>
      </c>
      <c r="S25" s="17" t="s">
        <v>338</v>
      </c>
      <c r="T25" s="25">
        <f t="shared" si="3"/>
        <v>46476</v>
      </c>
      <c r="U25" s="20" t="str">
        <f t="shared" si="4"/>
        <v>Significativo</v>
      </c>
      <c r="V25" s="24" t="str">
        <f>IF($C25="","",IF(COUNTIF(ListaMetodos,$F25)=0,"Revise el método de cuantificación",IF(NOT(AND(ISNUMBER($G25),ISNUMBER(INDEX($H25:$J25,1,MATCH(EscenarioAnalisis,ListaEscenarios,0))))),"Pendiente de datos",IF($K25="","Falta la fuente y el sustento",IF(OR(AND($B25&lt;&gt;"",COUNTIF(ListaTipos,$B25)=0),AND($D25&lt;&gt;"",COUNTIF(ListaActivos,$D25)=0),AND($E25&lt;&gt;"",COUNTIF(ListaHorizontes,$E25)=0),AND($R25&lt;&gt;"",COUNTIF(ListaResponsables,$R25)=0)),"Valor fuera de catálogo",IF(COUNTIFS($D$8:$D$43,$D25,$F$8:$F$43,$F25,$B$8:$B$43,$B25)&gt;1,"Posible doble conteo: revise riesgos similares",IF(AND($Q25="Baja",ISNUMBER($L25),$L25&gt;=UmbralSignificativo),"Revisión prioritaria: impacto alto con confianza baja",IF(AND($M25&lt;&gt;"",NOT(ISNUMBER($O25))),"Falta sustentar la efectividad de la medida",IF($M25="","Sin medida de mitigación",IF($Q25="","Falta el nivel de confianza",IF(ISNUMBER(SEARCH("estimación preliminar",$F25)),"Correcto · estimación preliminar: no es la cifra contable","Correcto")))))))))))</f>
        <v>Correcto</v>
      </c>
    </row>
    <row r="26" spans="1:22" ht="75" x14ac:dyDescent="0.25">
      <c r="A26" s="20" t="str">
        <f t="shared" si="0"/>
        <v>RC-19</v>
      </c>
      <c r="B26" s="17" t="s">
        <v>190</v>
      </c>
      <c r="C26" s="17" t="s">
        <v>339</v>
      </c>
      <c r="D26" s="17" t="s">
        <v>217</v>
      </c>
      <c r="E26" s="17" t="s">
        <v>80</v>
      </c>
      <c r="F26" s="17" t="s">
        <v>122</v>
      </c>
      <c r="G26" s="21">
        <v>18000000</v>
      </c>
      <c r="H26" s="21">
        <v>0.03</v>
      </c>
      <c r="I26" s="21">
        <v>0.08</v>
      </c>
      <c r="J26" s="21">
        <v>0.18</v>
      </c>
      <c r="K26" s="17" t="s">
        <v>340</v>
      </c>
      <c r="L26" s="22">
        <f t="shared" si="1"/>
        <v>1440000</v>
      </c>
      <c r="M26" s="17" t="s">
        <v>341</v>
      </c>
      <c r="N26" s="21">
        <v>220000</v>
      </c>
      <c r="O26" s="23">
        <v>0.4</v>
      </c>
      <c r="P26" s="22">
        <f t="shared" si="2"/>
        <v>864000</v>
      </c>
      <c r="Q26" s="17" t="s">
        <v>163</v>
      </c>
      <c r="R26" s="24" t="str">
        <f>IF($D26="","",IFERROR(INDEX(ActivoResponsable,MATCH($D26,ActivosFijo,0))&amp;"",""))</f>
        <v>Gerencia de Compras</v>
      </c>
      <c r="S26" s="17" t="s">
        <v>342</v>
      </c>
      <c r="T26" s="25">
        <f t="shared" si="3"/>
        <v>46476</v>
      </c>
      <c r="U26" s="20" t="str">
        <f t="shared" si="4"/>
        <v>Significativo</v>
      </c>
      <c r="V26" s="24" t="str">
        <f>IF($C26="","",IF(COUNTIF(ListaMetodos,$F26)=0,"Revise el método de cuantificación",IF(NOT(AND(ISNUMBER($G26),ISNUMBER(INDEX($H26:$J26,1,MATCH(EscenarioAnalisis,ListaEscenarios,0))))),"Pendiente de datos",IF($K26="","Falta la fuente y el sustento",IF(OR(AND($B26&lt;&gt;"",COUNTIF(ListaTipos,$B26)=0),AND($D26&lt;&gt;"",COUNTIF(ListaActivos,$D26)=0),AND($E26&lt;&gt;"",COUNTIF(ListaHorizontes,$E26)=0),AND($R26&lt;&gt;"",COUNTIF(ListaResponsables,$R26)=0)),"Valor fuera de catálogo",IF(COUNTIFS($D$8:$D$43,$D26,$F$8:$F$43,$F26,$B$8:$B$43,$B26)&gt;1,"Posible doble conteo: revise riesgos similares",IF(AND($Q26="Baja",ISNUMBER($L26),$L26&gt;=UmbralSignificativo),"Revisión prioritaria: impacto alto con confianza baja",IF(AND($M26&lt;&gt;"",NOT(ISNUMBER($O26))),"Falta sustentar la efectividad de la medida",IF($M26="","Sin medida de mitigación",IF($Q26="","Falta el nivel de confianza",IF(ISNUMBER(SEARCH("estimación preliminar",$F26)),"Correcto · estimación preliminar: no es la cifra contable","Correcto")))))))))))</f>
        <v>Correcto</v>
      </c>
    </row>
    <row r="27" spans="1:22" ht="75" x14ac:dyDescent="0.25">
      <c r="A27" s="20" t="str">
        <f t="shared" si="0"/>
        <v>RC-20</v>
      </c>
      <c r="B27" s="17" t="s">
        <v>190</v>
      </c>
      <c r="C27" s="17" t="s">
        <v>343</v>
      </c>
      <c r="D27" s="17" t="s">
        <v>244</v>
      </c>
      <c r="E27" s="17" t="s">
        <v>80</v>
      </c>
      <c r="F27" s="17" t="s">
        <v>122</v>
      </c>
      <c r="G27" s="21">
        <v>2400000</v>
      </c>
      <c r="H27" s="21">
        <v>0.05</v>
      </c>
      <c r="I27" s="21">
        <v>0.15</v>
      </c>
      <c r="J27" s="21">
        <v>0.35</v>
      </c>
      <c r="K27" s="17" t="s">
        <v>344</v>
      </c>
      <c r="L27" s="22">
        <f t="shared" si="1"/>
        <v>360000</v>
      </c>
      <c r="M27" s="17"/>
      <c r="N27" s="21"/>
      <c r="O27" s="23"/>
      <c r="P27" s="22">
        <f t="shared" si="2"/>
        <v>360000</v>
      </c>
      <c r="Q27" s="17" t="s">
        <v>161</v>
      </c>
      <c r="R27" s="17" t="s">
        <v>215</v>
      </c>
      <c r="S27" s="17" t="s">
        <v>345</v>
      </c>
      <c r="T27" s="25">
        <f t="shared" si="3"/>
        <v>46660</v>
      </c>
      <c r="U27" s="20" t="str">
        <f t="shared" si="4"/>
        <v>Moderado</v>
      </c>
      <c r="V27" s="24" t="str">
        <f>IF($C27="","",IF(COUNTIF(ListaMetodos,$F27)=0,"Revise el método de cuantificación",IF(NOT(AND(ISNUMBER($G27),ISNUMBER(INDEX($H27:$J27,1,MATCH(EscenarioAnalisis,ListaEscenarios,0))))),"Pendiente de datos",IF($K27="","Falta la fuente y el sustento",IF(OR(AND($B27&lt;&gt;"",COUNTIF(ListaTipos,$B27)=0),AND($D27&lt;&gt;"",COUNTIF(ListaActivos,$D27)=0),AND($E27&lt;&gt;"",COUNTIF(ListaHorizontes,$E27)=0),AND($R27&lt;&gt;"",COUNTIF(ListaResponsables,$R27)=0)),"Valor fuera de catálogo",IF(COUNTIFS($D$8:$D$43,$D27,$F$8:$F$43,$F27,$B$8:$B$43,$B27)&gt;1,"Posible doble conteo: revise riesgos similares",IF(AND($Q27="Baja",ISNUMBER($L27),$L27&gt;=UmbralSignificativo),"Revisión prioritaria: impacto alto con confianza baja",IF(AND($M27&lt;&gt;"",NOT(ISNUMBER($O27))),"Falta sustentar la efectividad de la medida",IF($M27="","Sin medida de mitigación",IF($Q27="","Falta el nivel de confianza",IF(ISNUMBER(SEARCH("estimación preliminar",$F27)),"Correcto · estimación preliminar: no es la cifra contable","Correcto")))))))))))</f>
        <v>Sin medida de mitigación</v>
      </c>
    </row>
    <row r="28" spans="1:22" ht="60" x14ac:dyDescent="0.25">
      <c r="A28" s="20" t="str">
        <f t="shared" si="0"/>
        <v>RC-21</v>
      </c>
      <c r="B28" s="17" t="s">
        <v>193</v>
      </c>
      <c r="C28" s="17" t="s">
        <v>346</v>
      </c>
      <c r="D28" s="17" t="s">
        <v>244</v>
      </c>
      <c r="E28" s="17" t="s">
        <v>82</v>
      </c>
      <c r="F28" s="17" t="s">
        <v>148</v>
      </c>
      <c r="G28" s="21">
        <v>55000000</v>
      </c>
      <c r="H28" s="21">
        <v>1E-3</v>
      </c>
      <c r="I28" s="21">
        <v>5.0000000000000001E-3</v>
      </c>
      <c r="J28" s="21">
        <v>1.2E-2</v>
      </c>
      <c r="K28" s="17" t="s">
        <v>347</v>
      </c>
      <c r="L28" s="22">
        <f t="shared" si="1"/>
        <v>275000</v>
      </c>
      <c r="M28" s="17" t="s">
        <v>348</v>
      </c>
      <c r="N28" s="21">
        <v>130000</v>
      </c>
      <c r="O28" s="23">
        <v>0.15</v>
      </c>
      <c r="P28" s="22">
        <f t="shared" si="2"/>
        <v>233750</v>
      </c>
      <c r="Q28" s="17" t="s">
        <v>163</v>
      </c>
      <c r="R28" s="24" t="str">
        <f t="shared" ref="R28:R43" si="5">IF($D28="","",IFERROR(INDEX(ActivoResponsable,MATCH($D28,ActivosFijo,0))&amp;"",""))</f>
        <v>Gerencia Financiera</v>
      </c>
      <c r="S28" s="17" t="s">
        <v>349</v>
      </c>
      <c r="T28" s="25">
        <f t="shared" si="3"/>
        <v>46660</v>
      </c>
      <c r="U28" s="20" t="str">
        <f t="shared" si="4"/>
        <v>Moderado</v>
      </c>
      <c r="V28" s="24" t="str">
        <f>IF($C28="","",IF(COUNTIF(ListaMetodos,$F28)=0,"Revise el método de cuantificación",IF(NOT(AND(ISNUMBER($G28),ISNUMBER(INDEX($H28:$J28,1,MATCH(EscenarioAnalisis,ListaEscenarios,0))))),"Pendiente de datos",IF($K28="","Falta la fuente y el sustento",IF(OR(AND($B28&lt;&gt;"",COUNTIF(ListaTipos,$B28)=0),AND($D28&lt;&gt;"",COUNTIF(ListaActivos,$D28)=0),AND($E28&lt;&gt;"",COUNTIF(ListaHorizontes,$E28)=0),AND($R28&lt;&gt;"",COUNTIF(ListaResponsables,$R28)=0)),"Valor fuera de catálogo",IF(COUNTIFS($D$8:$D$43,$D28,$F$8:$F$43,$F28,$B$8:$B$43,$B28)&gt;1,"Posible doble conteo: revise riesgos similares",IF(AND($Q28="Baja",ISNUMBER($L28),$L28&gt;=UmbralSignificativo),"Revisión prioritaria: impacto alto con confianza baja",IF(AND($M28&lt;&gt;"",NOT(ISNUMBER($O28))),"Falta sustentar la efectividad de la medida",IF($M28="","Sin medida de mitigación",IF($Q28="","Falta el nivel de confianza",IF(ISNUMBER(SEARCH("estimación preliminar",$F28)),"Correcto · estimación preliminar: no es la cifra contable","Correcto")))))))))))</f>
        <v>Correcto</v>
      </c>
    </row>
    <row r="29" spans="1:22" ht="60" x14ac:dyDescent="0.25">
      <c r="A29" s="20" t="str">
        <f t="shared" si="0"/>
        <v>RC-22</v>
      </c>
      <c r="B29" s="17" t="s">
        <v>193</v>
      </c>
      <c r="C29" s="17" t="s">
        <v>350</v>
      </c>
      <c r="D29" s="17" t="s">
        <v>250</v>
      </c>
      <c r="E29" s="17" t="s">
        <v>80</v>
      </c>
      <c r="F29" s="17" t="s">
        <v>115</v>
      </c>
      <c r="G29" s="21">
        <v>22000000</v>
      </c>
      <c r="H29" s="21">
        <v>0.01</v>
      </c>
      <c r="I29" s="21">
        <v>0.03</v>
      </c>
      <c r="J29" s="21">
        <v>0.08</v>
      </c>
      <c r="K29" s="17" t="s">
        <v>351</v>
      </c>
      <c r="L29" s="22">
        <f t="shared" si="1"/>
        <v>660000</v>
      </c>
      <c r="M29" s="17" t="s">
        <v>352</v>
      </c>
      <c r="N29" s="21">
        <v>45000</v>
      </c>
      <c r="O29" s="23">
        <v>0.5</v>
      </c>
      <c r="P29" s="22">
        <f t="shared" si="2"/>
        <v>330000</v>
      </c>
      <c r="Q29" s="17" t="s">
        <v>165</v>
      </c>
      <c r="R29" s="24" t="str">
        <f t="shared" si="5"/>
        <v>Gerencia de Mercadeo</v>
      </c>
      <c r="S29" s="17" t="s">
        <v>353</v>
      </c>
      <c r="T29" s="25">
        <f t="shared" si="3"/>
        <v>46660</v>
      </c>
      <c r="U29" s="20" t="str">
        <f t="shared" si="4"/>
        <v>Moderado</v>
      </c>
      <c r="V29" s="24" t="str">
        <f>IF($C29="","",IF(COUNTIF(ListaMetodos,$F29)=0,"Revise el método de cuantificación",IF(NOT(AND(ISNUMBER($G29),ISNUMBER(INDEX($H29:$J29,1,MATCH(EscenarioAnalisis,ListaEscenarios,0))))),"Pendiente de datos",IF($K29="","Falta la fuente y el sustento",IF(OR(AND($B29&lt;&gt;"",COUNTIF(ListaTipos,$B29)=0),AND($D29&lt;&gt;"",COUNTIF(ListaActivos,$D29)=0),AND($E29&lt;&gt;"",COUNTIF(ListaHorizontes,$E29)=0),AND($R29&lt;&gt;"",COUNTIF(ListaResponsables,$R29)=0)),"Valor fuera de catálogo",IF(COUNTIFS($D$8:$D$43,$D29,$F$8:$F$43,$F29,$B$8:$B$43,$B29)&gt;1,"Posible doble conteo: revise riesgos similares",IF(AND($Q29="Baja",ISNUMBER($L29),$L29&gt;=UmbralSignificativo),"Revisión prioritaria: impacto alto con confianza baja",IF(AND($M29&lt;&gt;"",NOT(ISNUMBER($O29))),"Falta sustentar la efectividad de la medida",IF($M29="","Sin medida de mitigación",IF($Q29="","Falta el nivel de confianza",IF(ISNUMBER(SEARCH("estimación preliminar",$F29)),"Correcto · estimación preliminar: no es la cifra contable","Correcto")))))))))))</f>
        <v>Revisión prioritaria: impacto alto con confianza baja</v>
      </c>
    </row>
    <row r="30" spans="1:22" ht="75" x14ac:dyDescent="0.25">
      <c r="A30" s="20" t="str">
        <f t="shared" si="0"/>
        <v>RC-23</v>
      </c>
      <c r="B30" s="17" t="s">
        <v>193</v>
      </c>
      <c r="C30" s="17" t="s">
        <v>354</v>
      </c>
      <c r="D30" s="17" t="s">
        <v>247</v>
      </c>
      <c r="E30" s="17" t="s">
        <v>82</v>
      </c>
      <c r="F30" s="17" t="s">
        <v>148</v>
      </c>
      <c r="G30" s="21"/>
      <c r="H30" s="21"/>
      <c r="I30" s="22" t="str">
        <f>IF(AND(ISNUMBER($H30),ISNUMBER(FactorModerado)),$H30*FactorModerado,"")</f>
        <v/>
      </c>
      <c r="J30" s="22" t="str">
        <f>IF(AND(ISNUMBER($H30),ISNUMBER(FactorSevero)),$H30*FactorSevero,"")</f>
        <v/>
      </c>
      <c r="K30" s="17"/>
      <c r="L30" s="22" t="str">
        <f t="shared" si="1"/>
        <v>Pendiente</v>
      </c>
      <c r="M30" s="17"/>
      <c r="N30" s="21"/>
      <c r="O30" s="23"/>
      <c r="P30" s="22" t="str">
        <f t="shared" si="2"/>
        <v>Pendiente</v>
      </c>
      <c r="Q30" s="17"/>
      <c r="R30" s="24" t="str">
        <f t="shared" si="5"/>
        <v>Gerencia Financiera</v>
      </c>
      <c r="S30" s="17" t="s">
        <v>355</v>
      </c>
      <c r="T30" s="25">
        <f t="shared" si="3"/>
        <v>46386</v>
      </c>
      <c r="U30" s="20" t="str">
        <f t="shared" si="4"/>
        <v>Pendiente</v>
      </c>
      <c r="V30" s="24" t="str">
        <f>IF($C30="","",IF(COUNTIF(ListaMetodos,$F30)=0,"Revise el método de cuantificación",IF(NOT(AND(ISNUMBER($G30),ISNUMBER(INDEX($H30:$J30,1,MATCH(EscenarioAnalisis,ListaEscenarios,0))))),"Pendiente de datos",IF($K30="","Falta la fuente y el sustento",IF(OR(AND($B30&lt;&gt;"",COUNTIF(ListaTipos,$B30)=0),AND($D30&lt;&gt;"",COUNTIF(ListaActivos,$D30)=0),AND($E30&lt;&gt;"",COUNTIF(ListaHorizontes,$E30)=0),AND($R30&lt;&gt;"",COUNTIF(ListaResponsables,$R30)=0)),"Valor fuera de catálogo",IF(COUNTIFS($D$8:$D$43,$D30,$F$8:$F$43,$F30,$B$8:$B$43,$B30)&gt;1,"Posible doble conteo: revise riesgos similares",IF(AND($Q30="Baja",ISNUMBER($L30),$L30&gt;=UmbralSignificativo),"Revisión prioritaria: impacto alto con confianza baja",IF(AND($M30&lt;&gt;"",NOT(ISNUMBER($O30))),"Falta sustentar la efectividad de la medida",IF($M30="","Sin medida de mitigación",IF($Q30="","Falta el nivel de confianza",IF(ISNUMBER(SEARCH("estimación preliminar",$F30)),"Correcto · estimación preliminar: no es la cifra contable","Correcto")))))))))))</f>
        <v>Pendiente de datos</v>
      </c>
    </row>
    <row r="31" spans="1:22" ht="60" x14ac:dyDescent="0.25">
      <c r="A31" s="20" t="str">
        <f t="shared" si="0"/>
        <v>RC-24</v>
      </c>
      <c r="B31" s="17" t="s">
        <v>193</v>
      </c>
      <c r="C31" s="17" t="s">
        <v>356</v>
      </c>
      <c r="D31" s="17" t="s">
        <v>244</v>
      </c>
      <c r="E31" s="17" t="s">
        <v>80</v>
      </c>
      <c r="F31" s="17" t="s">
        <v>152</v>
      </c>
      <c r="G31" s="21">
        <v>1800000</v>
      </c>
      <c r="H31" s="21">
        <v>0.05</v>
      </c>
      <c r="I31" s="21">
        <v>0.2</v>
      </c>
      <c r="J31" s="21">
        <v>0.5</v>
      </c>
      <c r="K31" s="17" t="s">
        <v>357</v>
      </c>
      <c r="L31" s="22">
        <f t="shared" si="1"/>
        <v>360000</v>
      </c>
      <c r="M31" s="17" t="s">
        <v>358</v>
      </c>
      <c r="N31" s="21">
        <v>25000</v>
      </c>
      <c r="O31" s="23">
        <v>0.4</v>
      </c>
      <c r="P31" s="22">
        <f t="shared" si="2"/>
        <v>216000</v>
      </c>
      <c r="Q31" s="17" t="s">
        <v>161</v>
      </c>
      <c r="R31" s="24" t="str">
        <f t="shared" si="5"/>
        <v>Gerencia Financiera</v>
      </c>
      <c r="S31" s="17" t="s">
        <v>359</v>
      </c>
      <c r="T31" s="25">
        <f t="shared" si="3"/>
        <v>46660</v>
      </c>
      <c r="U31" s="20" t="str">
        <f t="shared" si="4"/>
        <v>Moderado</v>
      </c>
      <c r="V31" s="24" t="str">
        <f>IF($C31="","",IF(COUNTIF(ListaMetodos,$F31)=0,"Revise el método de cuantificación",IF(NOT(AND(ISNUMBER($G31),ISNUMBER(INDEX($H31:$J31,1,MATCH(EscenarioAnalisis,ListaEscenarios,0))))),"Pendiente de datos",IF($K31="","Falta la fuente y el sustento",IF(OR(AND($B31&lt;&gt;"",COUNTIF(ListaTipos,$B31)=0),AND($D31&lt;&gt;"",COUNTIF(ListaActivos,$D31)=0),AND($E31&lt;&gt;"",COUNTIF(ListaHorizontes,$E31)=0),AND($R31&lt;&gt;"",COUNTIF(ListaResponsables,$R31)=0)),"Valor fuera de catálogo",IF(COUNTIFS($D$8:$D$43,$D31,$F$8:$F$43,$F31,$B$8:$B$43,$B31)&gt;1,"Posible doble conteo: revise riesgos similares",IF(AND($Q31="Baja",ISNUMBER($L31),$L31&gt;=UmbralSignificativo),"Revisión prioritaria: impacto alto con confianza baja",IF(AND($M31&lt;&gt;"",NOT(ISNUMBER($O31))),"Falta sustentar la efectividad de la medida",IF($M31="","Sin medida de mitigación",IF($Q31="","Falta el nivel de confianza",IF(ISNUMBER(SEARCH("estimación preliminar",$F31)),"Correcto · estimación preliminar: no es la cifra contable","Correcto")))))))))))</f>
        <v>Correcto · estimación preliminar: no es la cifra contable</v>
      </c>
    </row>
    <row r="32" spans="1:22" ht="105" x14ac:dyDescent="0.25">
      <c r="A32" s="20" t="str">
        <f t="shared" si="0"/>
        <v>RC-25</v>
      </c>
      <c r="B32" s="17" t="s">
        <v>183</v>
      </c>
      <c r="C32" s="17" t="s">
        <v>360</v>
      </c>
      <c r="D32" s="17" t="s">
        <v>247</v>
      </c>
      <c r="E32" s="17" t="s">
        <v>80</v>
      </c>
      <c r="F32" s="17" t="s">
        <v>122</v>
      </c>
      <c r="G32" s="21">
        <v>800000</v>
      </c>
      <c r="H32" s="21">
        <v>0.2</v>
      </c>
      <c r="I32" s="21">
        <v>0.25</v>
      </c>
      <c r="J32" s="21">
        <v>0.35</v>
      </c>
      <c r="K32" s="17" t="s">
        <v>361</v>
      </c>
      <c r="L32" s="22">
        <f t="shared" si="1"/>
        <v>200000</v>
      </c>
      <c r="M32" s="17" t="s">
        <v>306</v>
      </c>
      <c r="N32" s="21"/>
      <c r="O32" s="23">
        <v>0.15</v>
      </c>
      <c r="P32" s="22">
        <f t="shared" si="2"/>
        <v>170000</v>
      </c>
      <c r="Q32" s="17" t="s">
        <v>161</v>
      </c>
      <c r="R32" s="24" t="str">
        <f t="shared" si="5"/>
        <v>Gerencia Financiera</v>
      </c>
      <c r="S32" s="17" t="s">
        <v>362</v>
      </c>
      <c r="T32" s="25">
        <f t="shared" si="3"/>
        <v>46660</v>
      </c>
      <c r="U32" s="20" t="str">
        <f t="shared" si="4"/>
        <v>Moderado</v>
      </c>
      <c r="V32" s="24" t="str">
        <f>IF($C32="","",IF(COUNTIF(ListaMetodos,$F32)=0,"Revise el método de cuantificación",IF(NOT(AND(ISNUMBER($G32),ISNUMBER(INDEX($H32:$J32,1,MATCH(EscenarioAnalisis,ListaEscenarios,0))))),"Pendiente de datos",IF($K32="","Falta la fuente y el sustento",IF(OR(AND($B32&lt;&gt;"",COUNTIF(ListaTipos,$B32)=0),AND($D32&lt;&gt;"",COUNTIF(ListaActivos,$D32)=0),AND($E32&lt;&gt;"",COUNTIF(ListaHorizontes,$E32)=0),AND($R32&lt;&gt;"",COUNTIF(ListaResponsables,$R32)=0)),"Valor fuera de catálogo",IF(COUNTIFS($D$8:$D$43,$D32,$F$8:$F$43,$F32,$B$8:$B$43,$B32)&gt;1,"Posible doble conteo: revise riesgos similares",IF(AND($Q32="Baja",ISNUMBER($L32),$L32&gt;=UmbralSignificativo),"Revisión prioritaria: impacto alto con confianza baja",IF(AND($M32&lt;&gt;"",NOT(ISNUMBER($O32))),"Falta sustentar la efectividad de la medida",IF($M32="","Sin medida de mitigación",IF($Q32="","Falta el nivel de confianza",IF(ISNUMBER(SEARCH("estimación preliminar",$F32)),"Correcto · estimación preliminar: no es la cifra contable","Correcto")))))))))))</f>
        <v>Correcto</v>
      </c>
    </row>
    <row r="33" spans="1:22" ht="90" x14ac:dyDescent="0.25">
      <c r="A33" s="20" t="str">
        <f t="shared" si="0"/>
        <v>RC-26</v>
      </c>
      <c r="B33" s="17" t="s">
        <v>187</v>
      </c>
      <c r="C33" s="17" t="s">
        <v>363</v>
      </c>
      <c r="D33" s="17" t="s">
        <v>225</v>
      </c>
      <c r="E33" s="17" t="s">
        <v>82</v>
      </c>
      <c r="F33" s="17" t="s">
        <v>122</v>
      </c>
      <c r="G33" s="21">
        <v>3000000</v>
      </c>
      <c r="H33" s="21">
        <v>0.1</v>
      </c>
      <c r="I33" s="21">
        <v>0.15</v>
      </c>
      <c r="J33" s="21">
        <v>0.2</v>
      </c>
      <c r="K33" s="17" t="s">
        <v>364</v>
      </c>
      <c r="L33" s="22">
        <f t="shared" si="1"/>
        <v>450000</v>
      </c>
      <c r="M33" s="17" t="s">
        <v>365</v>
      </c>
      <c r="N33" s="21"/>
      <c r="O33" s="23">
        <v>0.2</v>
      </c>
      <c r="P33" s="22">
        <f t="shared" si="2"/>
        <v>360000</v>
      </c>
      <c r="Q33" s="17" t="s">
        <v>163</v>
      </c>
      <c r="R33" s="24" t="str">
        <f t="shared" si="5"/>
        <v>Gerencia de Operaciones</v>
      </c>
      <c r="S33" s="17" t="s">
        <v>366</v>
      </c>
      <c r="T33" s="25">
        <f t="shared" si="3"/>
        <v>46660</v>
      </c>
      <c r="U33" s="20" t="str">
        <f t="shared" si="4"/>
        <v>Moderado</v>
      </c>
      <c r="V33" s="24" t="str">
        <f>IF($C33="","",IF(COUNTIF(ListaMetodos,$F33)=0,"Revise el método de cuantificación",IF(NOT(AND(ISNUMBER($G33),ISNUMBER(INDEX($H33:$J33,1,MATCH(EscenarioAnalisis,ListaEscenarios,0))))),"Pendiente de datos",IF($K33="","Falta la fuente y el sustento",IF(OR(AND($B33&lt;&gt;"",COUNTIF(ListaTipos,$B33)=0),AND($D33&lt;&gt;"",COUNTIF(ListaActivos,$D33)=0),AND($E33&lt;&gt;"",COUNTIF(ListaHorizontes,$E33)=0),AND($R33&lt;&gt;"",COUNTIF(ListaResponsables,$R33)=0)),"Valor fuera de catálogo",IF(COUNTIFS($D$8:$D$43,$D33,$F$8:$F$43,$F33,$B$8:$B$43,$B33)&gt;1,"Posible doble conteo: revise riesgos similares",IF(AND($Q33="Baja",ISNUMBER($L33),$L33&gt;=UmbralSignificativo),"Revisión prioritaria: impacto alto con confianza baja",IF(AND($M33&lt;&gt;"",NOT(ISNUMBER($O33))),"Falta sustentar la efectividad de la medida",IF($M33="","Sin medida de mitigación",IF($Q33="","Falta el nivel de confianza",IF(ISNUMBER(SEARCH("estimación preliminar",$F33)),"Correcto · estimación preliminar: no es la cifra contable","Correcto")))))))))))</f>
        <v>Correcto</v>
      </c>
    </row>
    <row r="34" spans="1:22" ht="15.75" x14ac:dyDescent="0.25">
      <c r="A34" s="20" t="str">
        <f t="shared" si="0"/>
        <v/>
      </c>
      <c r="B34" s="17"/>
      <c r="C34" s="17"/>
      <c r="D34" s="17"/>
      <c r="E34" s="17"/>
      <c r="F34" s="17"/>
      <c r="G34" s="21"/>
      <c r="H34" s="21"/>
      <c r="I34" s="22" t="str">
        <f t="shared" ref="I34:I43" si="6">IF(AND(ISNUMBER($H34),ISNUMBER(FactorModerado)),$H34*FactorModerado,"")</f>
        <v/>
      </c>
      <c r="J34" s="22" t="str">
        <f t="shared" ref="J34:J43" si="7">IF(AND(ISNUMBER($H34),ISNUMBER(FactorSevero)),$H34*FactorSevero,"")</f>
        <v/>
      </c>
      <c r="K34" s="17"/>
      <c r="L34" s="22" t="str">
        <f t="shared" si="1"/>
        <v/>
      </c>
      <c r="M34" s="17"/>
      <c r="N34" s="21"/>
      <c r="O34" s="23"/>
      <c r="P34" s="22" t="str">
        <f t="shared" si="2"/>
        <v/>
      </c>
      <c r="Q34" s="17"/>
      <c r="R34" s="24" t="str">
        <f t="shared" si="5"/>
        <v/>
      </c>
      <c r="S34" s="17"/>
      <c r="T34" s="25" t="str">
        <f t="shared" si="3"/>
        <v/>
      </c>
      <c r="U34" s="20" t="str">
        <f t="shared" si="4"/>
        <v/>
      </c>
      <c r="V34" s="24" t="str">
        <f>IF($C34="","",IF(COUNTIF(ListaMetodos,$F34)=0,"Revise el método de cuantificación",IF(NOT(AND(ISNUMBER($G34),ISNUMBER(INDEX($H34:$J34,1,MATCH(EscenarioAnalisis,ListaEscenarios,0))))),"Pendiente de datos",IF($K34="","Falta la fuente y el sustento",IF(OR(AND($B34&lt;&gt;"",COUNTIF(ListaTipos,$B34)=0),AND($D34&lt;&gt;"",COUNTIF(ListaActivos,$D34)=0),AND($E34&lt;&gt;"",COUNTIF(ListaHorizontes,$E34)=0),AND($R34&lt;&gt;"",COUNTIF(ListaResponsables,$R34)=0)),"Valor fuera de catálogo",IF(COUNTIFS($D$8:$D$43,$D34,$F$8:$F$43,$F34,$B$8:$B$43,$B34)&gt;1,"Posible doble conteo: revise riesgos similares",IF(AND($Q34="Baja",ISNUMBER($L34),$L34&gt;=UmbralSignificativo),"Revisión prioritaria: impacto alto con confianza baja",IF(AND($M34&lt;&gt;"",NOT(ISNUMBER($O34))),"Falta sustentar la efectividad de la medida",IF($M34="","Sin medida de mitigación",IF($Q34="","Falta el nivel de confianza",IF(ISNUMBER(SEARCH("estimación preliminar",$F34)),"Correcto · estimación preliminar: no es la cifra contable","Correcto")))))))))))</f>
        <v/>
      </c>
    </row>
    <row r="35" spans="1:22" ht="15.75" x14ac:dyDescent="0.25">
      <c r="A35" s="20" t="str">
        <f t="shared" si="0"/>
        <v/>
      </c>
      <c r="B35" s="17"/>
      <c r="C35" s="17"/>
      <c r="D35" s="17"/>
      <c r="E35" s="17"/>
      <c r="F35" s="17"/>
      <c r="G35" s="21"/>
      <c r="H35" s="21"/>
      <c r="I35" s="22" t="str">
        <f t="shared" si="6"/>
        <v/>
      </c>
      <c r="J35" s="22" t="str">
        <f t="shared" si="7"/>
        <v/>
      </c>
      <c r="K35" s="17"/>
      <c r="L35" s="22" t="str">
        <f t="shared" si="1"/>
        <v/>
      </c>
      <c r="M35" s="17"/>
      <c r="N35" s="21"/>
      <c r="O35" s="23"/>
      <c r="P35" s="22" t="str">
        <f t="shared" si="2"/>
        <v/>
      </c>
      <c r="Q35" s="17"/>
      <c r="R35" s="24" t="str">
        <f t="shared" si="5"/>
        <v/>
      </c>
      <c r="S35" s="17"/>
      <c r="T35" s="25" t="str">
        <f t="shared" si="3"/>
        <v/>
      </c>
      <c r="U35" s="20" t="str">
        <f t="shared" si="4"/>
        <v/>
      </c>
      <c r="V35" s="24" t="str">
        <f>IF($C35="","",IF(COUNTIF(ListaMetodos,$F35)=0,"Revise el método de cuantificación",IF(NOT(AND(ISNUMBER($G35),ISNUMBER(INDEX($H35:$J35,1,MATCH(EscenarioAnalisis,ListaEscenarios,0))))),"Pendiente de datos",IF($K35="","Falta la fuente y el sustento",IF(OR(AND($B35&lt;&gt;"",COUNTIF(ListaTipos,$B35)=0),AND($D35&lt;&gt;"",COUNTIF(ListaActivos,$D35)=0),AND($E35&lt;&gt;"",COUNTIF(ListaHorizontes,$E35)=0),AND($R35&lt;&gt;"",COUNTIF(ListaResponsables,$R35)=0)),"Valor fuera de catálogo",IF(COUNTIFS($D$8:$D$43,$D35,$F$8:$F$43,$F35,$B$8:$B$43,$B35)&gt;1,"Posible doble conteo: revise riesgos similares",IF(AND($Q35="Baja",ISNUMBER($L35),$L35&gt;=UmbralSignificativo),"Revisión prioritaria: impacto alto con confianza baja",IF(AND($M35&lt;&gt;"",NOT(ISNUMBER($O35))),"Falta sustentar la efectividad de la medida",IF($M35="","Sin medida de mitigación",IF($Q35="","Falta el nivel de confianza",IF(ISNUMBER(SEARCH("estimación preliminar",$F35)),"Correcto · estimación preliminar: no es la cifra contable","Correcto")))))))))))</f>
        <v/>
      </c>
    </row>
    <row r="36" spans="1:22" ht="15.75" x14ac:dyDescent="0.25">
      <c r="A36" s="20" t="str">
        <f t="shared" si="0"/>
        <v/>
      </c>
      <c r="B36" s="17"/>
      <c r="C36" s="17"/>
      <c r="D36" s="17"/>
      <c r="E36" s="17"/>
      <c r="F36" s="17"/>
      <c r="G36" s="21"/>
      <c r="H36" s="21"/>
      <c r="I36" s="22" t="str">
        <f t="shared" si="6"/>
        <v/>
      </c>
      <c r="J36" s="22" t="str">
        <f t="shared" si="7"/>
        <v/>
      </c>
      <c r="K36" s="17"/>
      <c r="L36" s="22" t="str">
        <f t="shared" si="1"/>
        <v/>
      </c>
      <c r="M36" s="17"/>
      <c r="N36" s="21"/>
      <c r="O36" s="23"/>
      <c r="P36" s="22" t="str">
        <f t="shared" si="2"/>
        <v/>
      </c>
      <c r="Q36" s="17"/>
      <c r="R36" s="24" t="str">
        <f t="shared" si="5"/>
        <v/>
      </c>
      <c r="S36" s="17"/>
      <c r="T36" s="25" t="str">
        <f t="shared" si="3"/>
        <v/>
      </c>
      <c r="U36" s="20" t="str">
        <f t="shared" si="4"/>
        <v/>
      </c>
      <c r="V36" s="24" t="str">
        <f>IF($C36="","",IF(COUNTIF(ListaMetodos,$F36)=0,"Revise el método de cuantificación",IF(NOT(AND(ISNUMBER($G36),ISNUMBER(INDEX($H36:$J36,1,MATCH(EscenarioAnalisis,ListaEscenarios,0))))),"Pendiente de datos",IF($K36="","Falta la fuente y el sustento",IF(OR(AND($B36&lt;&gt;"",COUNTIF(ListaTipos,$B36)=0),AND($D36&lt;&gt;"",COUNTIF(ListaActivos,$D36)=0),AND($E36&lt;&gt;"",COUNTIF(ListaHorizontes,$E36)=0),AND($R36&lt;&gt;"",COUNTIF(ListaResponsables,$R36)=0)),"Valor fuera de catálogo",IF(COUNTIFS($D$8:$D$43,$D36,$F$8:$F$43,$F36,$B$8:$B$43,$B36)&gt;1,"Posible doble conteo: revise riesgos similares",IF(AND($Q36="Baja",ISNUMBER($L36),$L36&gt;=UmbralSignificativo),"Revisión prioritaria: impacto alto con confianza baja",IF(AND($M36&lt;&gt;"",NOT(ISNUMBER($O36))),"Falta sustentar la efectividad de la medida",IF($M36="","Sin medida de mitigación",IF($Q36="","Falta el nivel de confianza",IF(ISNUMBER(SEARCH("estimación preliminar",$F36)),"Correcto · estimación preliminar: no es la cifra contable","Correcto")))))))))))</f>
        <v/>
      </c>
    </row>
    <row r="37" spans="1:22" ht="15.75" x14ac:dyDescent="0.25">
      <c r="A37" s="20" t="str">
        <f t="shared" si="0"/>
        <v/>
      </c>
      <c r="B37" s="17"/>
      <c r="C37" s="17"/>
      <c r="D37" s="17"/>
      <c r="E37" s="17"/>
      <c r="F37" s="17"/>
      <c r="G37" s="21"/>
      <c r="H37" s="21"/>
      <c r="I37" s="22" t="str">
        <f t="shared" si="6"/>
        <v/>
      </c>
      <c r="J37" s="22" t="str">
        <f t="shared" si="7"/>
        <v/>
      </c>
      <c r="K37" s="17"/>
      <c r="L37" s="22" t="str">
        <f t="shared" si="1"/>
        <v/>
      </c>
      <c r="M37" s="17"/>
      <c r="N37" s="21"/>
      <c r="O37" s="23"/>
      <c r="P37" s="22" t="str">
        <f t="shared" si="2"/>
        <v/>
      </c>
      <c r="Q37" s="17"/>
      <c r="R37" s="24" t="str">
        <f t="shared" si="5"/>
        <v/>
      </c>
      <c r="S37" s="17"/>
      <c r="T37" s="25" t="str">
        <f t="shared" si="3"/>
        <v/>
      </c>
      <c r="U37" s="20" t="str">
        <f t="shared" si="4"/>
        <v/>
      </c>
      <c r="V37" s="24" t="str">
        <f>IF($C37="","",IF(COUNTIF(ListaMetodos,$F37)=0,"Revise el método de cuantificación",IF(NOT(AND(ISNUMBER($G37),ISNUMBER(INDEX($H37:$J37,1,MATCH(EscenarioAnalisis,ListaEscenarios,0))))),"Pendiente de datos",IF($K37="","Falta la fuente y el sustento",IF(OR(AND($B37&lt;&gt;"",COUNTIF(ListaTipos,$B37)=0),AND($D37&lt;&gt;"",COUNTIF(ListaActivos,$D37)=0),AND($E37&lt;&gt;"",COUNTIF(ListaHorizontes,$E37)=0),AND($R37&lt;&gt;"",COUNTIF(ListaResponsables,$R37)=0)),"Valor fuera de catálogo",IF(COUNTIFS($D$8:$D$43,$D37,$F$8:$F$43,$F37,$B$8:$B$43,$B37)&gt;1,"Posible doble conteo: revise riesgos similares",IF(AND($Q37="Baja",ISNUMBER($L37),$L37&gt;=UmbralSignificativo),"Revisión prioritaria: impacto alto con confianza baja",IF(AND($M37&lt;&gt;"",NOT(ISNUMBER($O37))),"Falta sustentar la efectividad de la medida",IF($M37="","Sin medida de mitigación",IF($Q37="","Falta el nivel de confianza",IF(ISNUMBER(SEARCH("estimación preliminar",$F37)),"Correcto · estimación preliminar: no es la cifra contable","Correcto")))))))))))</f>
        <v/>
      </c>
    </row>
    <row r="38" spans="1:22" ht="15.75" x14ac:dyDescent="0.25">
      <c r="A38" s="20" t="str">
        <f t="shared" si="0"/>
        <v/>
      </c>
      <c r="B38" s="17"/>
      <c r="C38" s="17"/>
      <c r="D38" s="17"/>
      <c r="E38" s="17"/>
      <c r="F38" s="17"/>
      <c r="G38" s="21"/>
      <c r="H38" s="21"/>
      <c r="I38" s="22" t="str">
        <f t="shared" si="6"/>
        <v/>
      </c>
      <c r="J38" s="22" t="str">
        <f t="shared" si="7"/>
        <v/>
      </c>
      <c r="K38" s="17"/>
      <c r="L38" s="22" t="str">
        <f t="shared" si="1"/>
        <v/>
      </c>
      <c r="M38" s="17"/>
      <c r="N38" s="21"/>
      <c r="O38" s="23"/>
      <c r="P38" s="22" t="str">
        <f t="shared" si="2"/>
        <v/>
      </c>
      <c r="Q38" s="17"/>
      <c r="R38" s="24" t="str">
        <f t="shared" si="5"/>
        <v/>
      </c>
      <c r="S38" s="17"/>
      <c r="T38" s="25" t="str">
        <f t="shared" si="3"/>
        <v/>
      </c>
      <c r="U38" s="20" t="str">
        <f t="shared" si="4"/>
        <v/>
      </c>
      <c r="V38" s="24" t="str">
        <f>IF($C38="","",IF(COUNTIF(ListaMetodos,$F38)=0,"Revise el método de cuantificación",IF(NOT(AND(ISNUMBER($G38),ISNUMBER(INDEX($H38:$J38,1,MATCH(EscenarioAnalisis,ListaEscenarios,0))))),"Pendiente de datos",IF($K38="","Falta la fuente y el sustento",IF(OR(AND($B38&lt;&gt;"",COUNTIF(ListaTipos,$B38)=0),AND($D38&lt;&gt;"",COUNTIF(ListaActivos,$D38)=0),AND($E38&lt;&gt;"",COUNTIF(ListaHorizontes,$E38)=0),AND($R38&lt;&gt;"",COUNTIF(ListaResponsables,$R38)=0)),"Valor fuera de catálogo",IF(COUNTIFS($D$8:$D$43,$D38,$F$8:$F$43,$F38,$B$8:$B$43,$B38)&gt;1,"Posible doble conteo: revise riesgos similares",IF(AND($Q38="Baja",ISNUMBER($L38),$L38&gt;=UmbralSignificativo),"Revisión prioritaria: impacto alto con confianza baja",IF(AND($M38&lt;&gt;"",NOT(ISNUMBER($O38))),"Falta sustentar la efectividad de la medida",IF($M38="","Sin medida de mitigación",IF($Q38="","Falta el nivel de confianza",IF(ISNUMBER(SEARCH("estimación preliminar",$F38)),"Correcto · estimación preliminar: no es la cifra contable","Correcto")))))))))))</f>
        <v/>
      </c>
    </row>
    <row r="39" spans="1:22" ht="15.75" x14ac:dyDescent="0.25">
      <c r="A39" s="20" t="str">
        <f t="shared" si="0"/>
        <v/>
      </c>
      <c r="B39" s="17"/>
      <c r="C39" s="17"/>
      <c r="D39" s="17"/>
      <c r="E39" s="17"/>
      <c r="F39" s="17"/>
      <c r="G39" s="21"/>
      <c r="H39" s="21"/>
      <c r="I39" s="22" t="str">
        <f t="shared" si="6"/>
        <v/>
      </c>
      <c r="J39" s="22" t="str">
        <f t="shared" si="7"/>
        <v/>
      </c>
      <c r="K39" s="17"/>
      <c r="L39" s="22" t="str">
        <f t="shared" si="1"/>
        <v/>
      </c>
      <c r="M39" s="17"/>
      <c r="N39" s="21"/>
      <c r="O39" s="23"/>
      <c r="P39" s="22" t="str">
        <f t="shared" si="2"/>
        <v/>
      </c>
      <c r="Q39" s="17"/>
      <c r="R39" s="24" t="str">
        <f t="shared" si="5"/>
        <v/>
      </c>
      <c r="S39" s="17"/>
      <c r="T39" s="25" t="str">
        <f t="shared" si="3"/>
        <v/>
      </c>
      <c r="U39" s="20" t="str">
        <f t="shared" si="4"/>
        <v/>
      </c>
      <c r="V39" s="24" t="str">
        <f>IF($C39="","",IF(COUNTIF(ListaMetodos,$F39)=0,"Revise el método de cuantificación",IF(NOT(AND(ISNUMBER($G39),ISNUMBER(INDEX($H39:$J39,1,MATCH(EscenarioAnalisis,ListaEscenarios,0))))),"Pendiente de datos",IF($K39="","Falta la fuente y el sustento",IF(OR(AND($B39&lt;&gt;"",COUNTIF(ListaTipos,$B39)=0),AND($D39&lt;&gt;"",COUNTIF(ListaActivos,$D39)=0),AND($E39&lt;&gt;"",COUNTIF(ListaHorizontes,$E39)=0),AND($R39&lt;&gt;"",COUNTIF(ListaResponsables,$R39)=0)),"Valor fuera de catálogo",IF(COUNTIFS($D$8:$D$43,$D39,$F$8:$F$43,$F39,$B$8:$B$43,$B39)&gt;1,"Posible doble conteo: revise riesgos similares",IF(AND($Q39="Baja",ISNUMBER($L39),$L39&gt;=UmbralSignificativo),"Revisión prioritaria: impacto alto con confianza baja",IF(AND($M39&lt;&gt;"",NOT(ISNUMBER($O39))),"Falta sustentar la efectividad de la medida",IF($M39="","Sin medida de mitigación",IF($Q39="","Falta el nivel de confianza",IF(ISNUMBER(SEARCH("estimación preliminar",$F39)),"Correcto · estimación preliminar: no es la cifra contable","Correcto")))))))))))</f>
        <v/>
      </c>
    </row>
    <row r="40" spans="1:22" ht="15.75" x14ac:dyDescent="0.25">
      <c r="A40" s="20" t="str">
        <f t="shared" si="0"/>
        <v/>
      </c>
      <c r="B40" s="17"/>
      <c r="C40" s="17"/>
      <c r="D40" s="17"/>
      <c r="E40" s="17"/>
      <c r="F40" s="17"/>
      <c r="G40" s="21"/>
      <c r="H40" s="21"/>
      <c r="I40" s="22" t="str">
        <f t="shared" si="6"/>
        <v/>
      </c>
      <c r="J40" s="22" t="str">
        <f t="shared" si="7"/>
        <v/>
      </c>
      <c r="K40" s="17"/>
      <c r="L40" s="22" t="str">
        <f t="shared" si="1"/>
        <v/>
      </c>
      <c r="M40" s="17"/>
      <c r="N40" s="21"/>
      <c r="O40" s="23"/>
      <c r="P40" s="22" t="str">
        <f t="shared" si="2"/>
        <v/>
      </c>
      <c r="Q40" s="17"/>
      <c r="R40" s="24" t="str">
        <f t="shared" si="5"/>
        <v/>
      </c>
      <c r="S40" s="17"/>
      <c r="T40" s="25" t="str">
        <f t="shared" si="3"/>
        <v/>
      </c>
      <c r="U40" s="20" t="str">
        <f t="shared" si="4"/>
        <v/>
      </c>
      <c r="V40" s="24" t="str">
        <f>IF($C40="","",IF(COUNTIF(ListaMetodos,$F40)=0,"Revise el método de cuantificación",IF(NOT(AND(ISNUMBER($G40),ISNUMBER(INDEX($H40:$J40,1,MATCH(EscenarioAnalisis,ListaEscenarios,0))))),"Pendiente de datos",IF($K40="","Falta la fuente y el sustento",IF(OR(AND($B40&lt;&gt;"",COUNTIF(ListaTipos,$B40)=0),AND($D40&lt;&gt;"",COUNTIF(ListaActivos,$D40)=0),AND($E40&lt;&gt;"",COUNTIF(ListaHorizontes,$E40)=0),AND($R40&lt;&gt;"",COUNTIF(ListaResponsables,$R40)=0)),"Valor fuera de catálogo",IF(COUNTIFS($D$8:$D$43,$D40,$F$8:$F$43,$F40,$B$8:$B$43,$B40)&gt;1,"Posible doble conteo: revise riesgos similares",IF(AND($Q40="Baja",ISNUMBER($L40),$L40&gt;=UmbralSignificativo),"Revisión prioritaria: impacto alto con confianza baja",IF(AND($M40&lt;&gt;"",NOT(ISNUMBER($O40))),"Falta sustentar la efectividad de la medida",IF($M40="","Sin medida de mitigación",IF($Q40="","Falta el nivel de confianza",IF(ISNUMBER(SEARCH("estimación preliminar",$F40)),"Correcto · estimación preliminar: no es la cifra contable","Correcto")))))))))))</f>
        <v/>
      </c>
    </row>
    <row r="41" spans="1:22" ht="15.75" x14ac:dyDescent="0.25">
      <c r="A41" s="20" t="str">
        <f t="shared" si="0"/>
        <v/>
      </c>
      <c r="B41" s="17"/>
      <c r="C41" s="17"/>
      <c r="D41" s="17"/>
      <c r="E41" s="17"/>
      <c r="F41" s="17"/>
      <c r="G41" s="21"/>
      <c r="H41" s="21"/>
      <c r="I41" s="22" t="str">
        <f t="shared" si="6"/>
        <v/>
      </c>
      <c r="J41" s="22" t="str">
        <f t="shared" si="7"/>
        <v/>
      </c>
      <c r="K41" s="17"/>
      <c r="L41" s="22" t="str">
        <f t="shared" si="1"/>
        <v/>
      </c>
      <c r="M41" s="17"/>
      <c r="N41" s="21"/>
      <c r="O41" s="23"/>
      <c r="P41" s="22" t="str">
        <f t="shared" si="2"/>
        <v/>
      </c>
      <c r="Q41" s="17"/>
      <c r="R41" s="24" t="str">
        <f t="shared" si="5"/>
        <v/>
      </c>
      <c r="S41" s="17"/>
      <c r="T41" s="25" t="str">
        <f t="shared" si="3"/>
        <v/>
      </c>
      <c r="U41" s="20" t="str">
        <f t="shared" si="4"/>
        <v/>
      </c>
      <c r="V41" s="24" t="str">
        <f>IF($C41="","",IF(COUNTIF(ListaMetodos,$F41)=0,"Revise el método de cuantificación",IF(NOT(AND(ISNUMBER($G41),ISNUMBER(INDEX($H41:$J41,1,MATCH(EscenarioAnalisis,ListaEscenarios,0))))),"Pendiente de datos",IF($K41="","Falta la fuente y el sustento",IF(OR(AND($B41&lt;&gt;"",COUNTIF(ListaTipos,$B41)=0),AND($D41&lt;&gt;"",COUNTIF(ListaActivos,$D41)=0),AND($E41&lt;&gt;"",COUNTIF(ListaHorizontes,$E41)=0),AND($R41&lt;&gt;"",COUNTIF(ListaResponsables,$R41)=0)),"Valor fuera de catálogo",IF(COUNTIFS($D$8:$D$43,$D41,$F$8:$F$43,$F41,$B$8:$B$43,$B41)&gt;1,"Posible doble conteo: revise riesgos similares",IF(AND($Q41="Baja",ISNUMBER($L41),$L41&gt;=UmbralSignificativo),"Revisión prioritaria: impacto alto con confianza baja",IF(AND($M41&lt;&gt;"",NOT(ISNUMBER($O41))),"Falta sustentar la efectividad de la medida",IF($M41="","Sin medida de mitigación",IF($Q41="","Falta el nivel de confianza",IF(ISNUMBER(SEARCH("estimación preliminar",$F41)),"Correcto · estimación preliminar: no es la cifra contable","Correcto")))))))))))</f>
        <v/>
      </c>
    </row>
    <row r="42" spans="1:22" ht="15.75" x14ac:dyDescent="0.25">
      <c r="A42" s="20" t="str">
        <f t="shared" si="0"/>
        <v/>
      </c>
      <c r="B42" s="17"/>
      <c r="C42" s="17"/>
      <c r="D42" s="17"/>
      <c r="E42" s="17"/>
      <c r="F42" s="17"/>
      <c r="G42" s="21"/>
      <c r="H42" s="21"/>
      <c r="I42" s="22" t="str">
        <f t="shared" si="6"/>
        <v/>
      </c>
      <c r="J42" s="22" t="str">
        <f t="shared" si="7"/>
        <v/>
      </c>
      <c r="K42" s="17"/>
      <c r="L42" s="22" t="str">
        <f t="shared" si="1"/>
        <v/>
      </c>
      <c r="M42" s="17"/>
      <c r="N42" s="21"/>
      <c r="O42" s="23"/>
      <c r="P42" s="22" t="str">
        <f t="shared" si="2"/>
        <v/>
      </c>
      <c r="Q42" s="17"/>
      <c r="R42" s="24" t="str">
        <f t="shared" si="5"/>
        <v/>
      </c>
      <c r="S42" s="17"/>
      <c r="T42" s="25" t="str">
        <f t="shared" si="3"/>
        <v/>
      </c>
      <c r="U42" s="20" t="str">
        <f t="shared" si="4"/>
        <v/>
      </c>
      <c r="V42" s="24" t="str">
        <f>IF($C42="","",IF(COUNTIF(ListaMetodos,$F42)=0,"Revise el método de cuantificación",IF(NOT(AND(ISNUMBER($G42),ISNUMBER(INDEX($H42:$J42,1,MATCH(EscenarioAnalisis,ListaEscenarios,0))))),"Pendiente de datos",IF($K42="","Falta la fuente y el sustento",IF(OR(AND($B42&lt;&gt;"",COUNTIF(ListaTipos,$B42)=0),AND($D42&lt;&gt;"",COUNTIF(ListaActivos,$D42)=0),AND($E42&lt;&gt;"",COUNTIF(ListaHorizontes,$E42)=0),AND($R42&lt;&gt;"",COUNTIF(ListaResponsables,$R42)=0)),"Valor fuera de catálogo",IF(COUNTIFS($D$8:$D$43,$D42,$F$8:$F$43,$F42,$B$8:$B$43,$B42)&gt;1,"Posible doble conteo: revise riesgos similares",IF(AND($Q42="Baja",ISNUMBER($L42),$L42&gt;=UmbralSignificativo),"Revisión prioritaria: impacto alto con confianza baja",IF(AND($M42&lt;&gt;"",NOT(ISNUMBER($O42))),"Falta sustentar la efectividad de la medida",IF($M42="","Sin medida de mitigación",IF($Q42="","Falta el nivel de confianza",IF(ISNUMBER(SEARCH("estimación preliminar",$F42)),"Correcto · estimación preliminar: no es la cifra contable","Correcto")))))))))))</f>
        <v/>
      </c>
    </row>
    <row r="43" spans="1:22" ht="15.75" x14ac:dyDescent="0.25">
      <c r="A43" s="20" t="str">
        <f t="shared" si="0"/>
        <v/>
      </c>
      <c r="B43" s="17"/>
      <c r="C43" s="17"/>
      <c r="D43" s="17"/>
      <c r="E43" s="17"/>
      <c r="F43" s="17"/>
      <c r="G43" s="21"/>
      <c r="H43" s="21"/>
      <c r="I43" s="22" t="str">
        <f t="shared" si="6"/>
        <v/>
      </c>
      <c r="J43" s="22" t="str">
        <f t="shared" si="7"/>
        <v/>
      </c>
      <c r="K43" s="17"/>
      <c r="L43" s="22" t="str">
        <f t="shared" si="1"/>
        <v/>
      </c>
      <c r="M43" s="17"/>
      <c r="N43" s="21"/>
      <c r="O43" s="23"/>
      <c r="P43" s="22" t="str">
        <f t="shared" si="2"/>
        <v/>
      </c>
      <c r="Q43" s="17"/>
      <c r="R43" s="24" t="str">
        <f t="shared" si="5"/>
        <v/>
      </c>
      <c r="S43" s="17"/>
      <c r="T43" s="25" t="str">
        <f t="shared" si="3"/>
        <v/>
      </c>
      <c r="U43" s="20" t="str">
        <f t="shared" si="4"/>
        <v/>
      </c>
      <c r="V43" s="24" t="str">
        <f>IF($C43="","",IF(COUNTIF(ListaMetodos,$F43)=0,"Revise el método de cuantificación",IF(NOT(AND(ISNUMBER($G43),ISNUMBER(INDEX($H43:$J43,1,MATCH(EscenarioAnalisis,ListaEscenarios,0))))),"Pendiente de datos",IF($K43="","Falta la fuente y el sustento",IF(OR(AND($B43&lt;&gt;"",COUNTIF(ListaTipos,$B43)=0),AND($D43&lt;&gt;"",COUNTIF(ListaActivos,$D43)=0),AND($E43&lt;&gt;"",COUNTIF(ListaHorizontes,$E43)=0),AND($R43&lt;&gt;"",COUNTIF(ListaResponsables,$R43)=0)),"Valor fuera de catálogo",IF(COUNTIFS($D$8:$D$43,$D43,$F$8:$F$43,$F43,$B$8:$B$43,$B43)&gt;1,"Posible doble conteo: revise riesgos similares",IF(AND($Q43="Baja",ISNUMBER($L43),$L43&gt;=UmbralSignificativo),"Revisión prioritaria: impacto alto con confianza baja",IF(AND($M43&lt;&gt;"",NOT(ISNUMBER($O43))),"Falta sustentar la efectividad de la medida",IF($M43="","Sin medida de mitigación",IF($Q43="","Falta el nivel de confianza",IF(ISNUMBER(SEARCH("estimación preliminar",$F43)),"Correcto · estimación preliminar: no es la cifra contable","Correcto")))))))))))</f>
        <v/>
      </c>
    </row>
  </sheetData>
  <mergeCells count="4">
    <mergeCell ref="A6:B6"/>
    <mergeCell ref="A5:V5"/>
    <mergeCell ref="A1:V4"/>
    <mergeCell ref="D6:K6"/>
  </mergeCells>
  <conditionalFormatting sqref="B8:B43">
    <cfRule type="expression" dxfId="34" priority="1">
      <formula>AND(B8&lt;&gt;"",COUNTIF(ListaTipos,B8)=0)</formula>
    </cfRule>
    <cfRule type="expression" dxfId="33" priority="7">
      <formula>AND($C8&lt;&gt;"",B8="")</formula>
    </cfRule>
  </conditionalFormatting>
  <conditionalFormatting sqref="D8:D43">
    <cfRule type="expression" dxfId="32" priority="2">
      <formula>AND(D8&lt;&gt;"",COUNTIF(ListaActivos,D8)=0)</formula>
    </cfRule>
  </conditionalFormatting>
  <conditionalFormatting sqref="D8:G43">
    <cfRule type="expression" dxfId="31" priority="8">
      <formula>AND($C8&lt;&gt;"",D8="")</formula>
    </cfRule>
  </conditionalFormatting>
  <conditionalFormatting sqref="E8:E43">
    <cfRule type="expression" dxfId="30" priority="3">
      <formula>AND(E8&lt;&gt;"",COUNTIF(ListaHorizontes,E8)=0)</formula>
    </cfRule>
  </conditionalFormatting>
  <conditionalFormatting sqref="F8:F43">
    <cfRule type="expression" dxfId="29" priority="4">
      <formula>AND(F8&lt;&gt;"",COUNTIF(ListaMetodos,F8)=0)</formula>
    </cfRule>
  </conditionalFormatting>
  <conditionalFormatting sqref="H8:J43">
    <cfRule type="expression" dxfId="28" priority="22">
      <formula>IFERROR(INDEX(MetUnidadSupuesto,MATCH($F8,ListaMetodos,0)),"")="%"</formula>
    </cfRule>
  </conditionalFormatting>
  <conditionalFormatting sqref="K8:K43">
    <cfRule type="expression" dxfId="27" priority="9">
      <formula>AND($C8&lt;&gt;"",K8="")</formula>
    </cfRule>
  </conditionalFormatting>
  <conditionalFormatting sqref="L8:L43">
    <cfRule type="expression" dxfId="26" priority="16">
      <formula>L8="Pendiente"</formula>
    </cfRule>
  </conditionalFormatting>
  <conditionalFormatting sqref="P8:P43">
    <cfRule type="expression" dxfId="25" priority="17">
      <formula>P8="Pendiente"</formula>
    </cfRule>
  </conditionalFormatting>
  <conditionalFormatting sqref="Q8:Q43">
    <cfRule type="expression" dxfId="24" priority="5">
      <formula>AND(Q8&lt;&gt;"",COUNTIF(ListaConfianza,Q8)=0)</formula>
    </cfRule>
    <cfRule type="expression" dxfId="23" priority="18">
      <formula>$Q8="Baja"</formula>
    </cfRule>
  </conditionalFormatting>
  <conditionalFormatting sqref="Q8:S43">
    <cfRule type="expression" dxfId="22" priority="10">
      <formula>AND($C8&lt;&gt;"",Q8="")</formula>
    </cfRule>
  </conditionalFormatting>
  <conditionalFormatting sqref="R8:R43">
    <cfRule type="expression" dxfId="21" priority="6">
      <formula>AND(R8&lt;&gt;"",COUNTIF(ListaResponsables,R8)=0)</formula>
    </cfRule>
  </conditionalFormatting>
  <conditionalFormatting sqref="U8:U43">
    <cfRule type="expression" dxfId="20" priority="11">
      <formula>$U8=Nivel_Riesgo_4</formula>
    </cfRule>
    <cfRule type="expression" dxfId="19" priority="12">
      <formula>$U8=Nivel_Riesgo_3</formula>
    </cfRule>
    <cfRule type="expression" dxfId="18" priority="13">
      <formula>$U8=Nivel_Riesgo_2</formula>
    </cfRule>
    <cfRule type="expression" dxfId="17" priority="14">
      <formula>$U8=Nivel_Riesgo_1</formula>
    </cfRule>
    <cfRule type="expression" dxfId="16" priority="15">
      <formula>$U8="Pendiente"</formula>
    </cfRule>
  </conditionalFormatting>
  <conditionalFormatting sqref="V8:V43">
    <cfRule type="expression" dxfId="15" priority="19">
      <formula>$V8="Revisión prioritaria: impacto alto con confianza baja"</formula>
    </cfRule>
    <cfRule type="expression" dxfId="14" priority="20">
      <formula>LEFT($V8,8)="Correcto"</formula>
    </cfRule>
    <cfRule type="expression" dxfId="13" priority="21">
      <formula>AND($V8&lt;&gt;"",LEFT($V8,8)&lt;&gt;"Correcto")</formula>
    </cfRule>
  </conditionalFormatting>
  <dataValidations count="35">
    <dataValidation type="list" allowBlank="1" showInputMessage="1" showErrorMessage="1" errorTitle="Valor no permitido" error="Seleccione un valor de la lista definida en Parámetros." promptTitle="Escenario: elija de la lista" prompt="Elija el escenario que quiere analizar: Base, Moderado o Severo. Al cambiarlo se actualizan el impacto bruto y residual, la prioridad y el Dashboard. Los escenarios se comparan, no se suman." sqref="C6" xr:uid="{00000000-0002-0000-0200-000000000000}">
      <formula1>ListaEscenarios</formula1>
    </dataValidation>
    <dataValidation allowBlank="1" showInputMessage="1" promptTitle="ID: no se llena" prompt="No se llena. Aparece solo cuando escribe el riesgo en la columna C (RC-01, RC-02…). Úselo para citar el riesgo en la hoja Oportunidades." sqref="A7:A43" xr:uid="{00000000-0002-0000-0200-000001000000}"/>
    <dataValidation allowBlank="1" showInputMessage="1" promptTitle="Tipo de riesgo: elija" prompt="Elija una opción. Físico agudo: evento puntual (inundación, tormenta, ola de calor). Físico crónico: cambio gradual (sequía, nivel del mar). Transición: cambio de regulación, tecnología, mercado o reputación." sqref="B7" xr:uid="{00000000-0002-0000-0200-000003000000}"/>
    <dataValidation type="list" allowBlank="1" showInputMessage="1" showErrorMessage="1" errorTitle="Valor no permitido" error="Seleccione un valor de la lista definida en Parámetros." promptTitle="Tipo de riesgo: elija" prompt="Elija una opción. Físico agudo: evento puntual (inundación, tormenta, ola de calor). Físico crónico: cambio gradual (sequía, nivel del mar). Transición: cambio de regulación, tecnología, mercado o reputación." sqref="B8:B43" xr:uid="{00000000-0002-0000-0200-000004000000}">
      <formula1>ListaTipos</formula1>
    </dataValidation>
    <dataValidation allowBlank="1" showInputMessage="1" promptTitle="Riesgo: escriba una frase" prompt="Escriba una sola frase con tres partes: «Debido a [causa climática], podría [evento], lo que [consecuencia para la operación]». Ejemplo: «Debido a lluvias extremas, podría inundarse la planta, lo que detendría la producción»." sqref="C7:C43" xr:uid="{00000000-0002-0000-0200-000005000000}"/>
    <dataValidation allowBlank="1" showInputMessage="1" promptTitle="Activo expuesto: elija" prompt="Elija de la lista qué queda expuesto al riesgo: una planta, bodega, cultivo, proceso, producto o deuda. Si no aparece, agréguelo primero en Parámetros, sección 9, y vuelva a esta celda." sqref="D7" xr:uid="{00000000-0002-0000-0200-000007000000}"/>
    <dataValidation type="list" allowBlank="1" showInputMessage="1" showErrorMessage="1" errorTitle="Valor no permitido" error="Seleccione un valor de la lista definida en Parámetros." promptTitle="Activo expuesto: elija" prompt="Elija de la lista qué queda expuesto al riesgo: una planta, bodega, cultivo, proceso, producto o deuda. Si no aparece, agréguelo primero en Parámetros, sección 9, y vuelva a esta celda." sqref="D8:D43" xr:uid="{00000000-0002-0000-0200-000008000000}">
      <formula1>ListaActivos</formula1>
    </dataValidation>
    <dataValidation allowBlank="1" showInputMessage="1" promptTitle="Horizonte: elija de la lista" prompt="Elija cuándo podría ocurrir el riesgo: corto, mediano o largo plazo. Guíese por los años que su organización definió para cada horizonte en Parámetros, sección 3." sqref="E7" xr:uid="{00000000-0002-0000-0200-000009000000}"/>
    <dataValidation type="list" allowBlank="1" showInputMessage="1" showErrorMessage="1" errorTitle="Valor no permitido" error="Seleccione un valor de la lista definida en Parámetros." promptTitle="Horizonte: elija de la lista" prompt="Elija cuándo podría ocurrir el riesgo: corto, mediano o largo plazo. Guíese por los años que su organización definió para cada horizonte en Parámetros, sección 3." sqref="E8:E43" xr:uid="{00000000-0002-0000-0200-00000A000000}">
      <formula1>ListaHorizontes</formula1>
    </dataValidation>
    <dataValidation allowBlank="1" showInputMessage="1" promptTitle="Método: elija de la lista" prompt="Elija según el efecto: ventas que caen, pérdida de ingresos; gasto que sube (OPEX), incremento de costos; días sin operar, interrupción (margen); inversión, CAPEX. Si un riesgo genera OPEX y CAPEX, use dos filas." sqref="F7" xr:uid="{00000000-0002-0000-0200-00000B000000}"/>
    <dataValidation type="list" allowBlank="1" showInputMessage="1" showErrorMessage="1" errorTitle="Valor no permitido" error="Seleccione un valor de la lista definida en Parámetros." promptTitle="Método: elija de la lista" prompt="Elija según el efecto: ventas que caen, pérdida de ingresos; gasto que sube (OPEX), incremento de costos; días sin operar, interrupción (margen); inversión, CAPEX. Si un riesgo genera OPEX y CAPEX, use dos filas." sqref="F8:F43" xr:uid="{00000000-0002-0000-0200-00000C000000}">
      <formula1>ListaMetodos</formula1>
    </dataValidation>
    <dataValidation allowBlank="1" showInputMessage="1" promptTitle="Valor expuesto: solo el número" prompt="Escriba solo el número, sin símbolos ni puntos, en la moneda de Parámetros. Es el primer dato del paréntesis del método: ventas o gasto del año, valor del activo, margen de un día (ventas menos costos variables), tCO2e, CAPEX base o deuda." sqref="G7" xr:uid="{00000000-0002-0000-0200-00000D000000}"/>
    <dataValidation type="decimal" operator="greaterThanOrEqual" allowBlank="1" showInputMessage="1" showErrorMessage="1" errorTitle="Valor no permitido" error="Ingrese un número mayor o igual que cero." promptTitle="Valor expuesto: solo el número" prompt="Escriba solo el número, sin símbolos ni puntos, en la moneda de Parámetros. Es el primer dato del paréntesis del método: ventas o gasto del año, valor del activo, margen de un día (ventas menos costos variables), tCO2e, CAPEX base o deuda." sqref="G8:G43" xr:uid="{00000000-0002-0000-0200-00000E000000}">
      <formula1>0</formula1>
    </dataValidation>
    <dataValidation allowBlank="1" showInputMessage="1" promptTitle="Supuesto base: escriba el valor" prompt="Escriba el segundo dato del paréntesis del método para el primer escenario. Si es porcentaje, digítelo con el signo: 2%. Si son días, solo el número: 4. Si es precio del carbono, el valor: 25. Si es CAPEX, las veces el CAPEX base: 1." sqref="H7" xr:uid="{00000000-0002-0000-0200-00000F000000}"/>
    <dataValidation type="decimal" operator="greaterThanOrEqual" allowBlank="1" showInputMessage="1" showErrorMessage="1" errorTitle="Valor no permitido" error="Ingrese un número mayor o igual que cero." promptTitle="Supuesto base: escriba el valor" prompt="Escriba el segundo dato del paréntesis del método para el primer escenario. Si es porcentaje, digítelo con el signo: 2%. Si son días, solo el número: 4. Si es precio del carbono, el valor: 25. Si es CAPEX, las veces el CAPEX base: 1." sqref="H8:H43" xr:uid="{00000000-0002-0000-0200-000010000000}">
      <formula1>0</formula1>
    </dataValidation>
    <dataValidation allowBlank="1" showInputMessage="1" promptTitle="Supuesto 2.º escenario" prompt="Se llena igual que la columna H, con el valor del segundo escenario. Ejemplo: 6%. En una fila nueva aparece una sugerencia (base × factor de Parámetros, sección 4): escriba encima el valor propio del riesgo." sqref="I7" xr:uid="{00000000-0002-0000-0200-000011000000}"/>
    <dataValidation type="decimal" operator="greaterThanOrEqual" allowBlank="1" showInputMessage="1" showErrorMessage="1" errorTitle="Valor no permitido" error="Ingrese un número mayor o igual que cero." promptTitle="Supuesto 2.º escenario" prompt="Se llena igual que la columna H, con el valor del segundo escenario. Ejemplo: 6%. En una fila nueva aparece una sugerencia (base × factor de Parámetros, sección 4): escriba encima el valor propio del riesgo." sqref="I8:I43" xr:uid="{00000000-0002-0000-0200-000012000000}">
      <formula1>0</formula1>
    </dataValidation>
    <dataValidation allowBlank="1" showInputMessage="1" promptTitle="Supuesto 3.er escenario" prompt="Se llena igual que la columna H, con el valor del escenario más exigente. Ejemplo: 15%. En una fila nueva aparece una sugerencia (base × factor de Parámetros, sección 4): escriba encima el valor propio del riesgo." sqref="J7" xr:uid="{00000000-0002-0000-0200-000013000000}"/>
    <dataValidation type="decimal" operator="greaterThanOrEqual" allowBlank="1" showInputMessage="1" showErrorMessage="1" errorTitle="Valor no permitido" error="Ingrese un número mayor o igual que cero." promptTitle="Supuesto 3.er escenario" prompt="Se llena igual que la columna H, con el valor del escenario más exigente. Ejemplo: 15%. En una fila nueva aparece una sugerencia (base × factor de Parámetros, sección 4): escriba encima el valor propio del riesgo." sqref="J8:J43" xr:uid="{00000000-0002-0000-0200-000014000000}">
      <formula1>0</formula1>
    </dataValidation>
    <dataValidation allowBlank="1" showInputMessage="1" promptTitle="Fuente y sustento: escriba" prompt="Escriba dos cosas: de dónde sale el dato de la columna G y en qué se basan los supuestos. Ejemplo: «Registro de activos fijos a dic. 2025. Porcentaje de daño estimado con el ajustador de seguros». Sin esto la fila queda «Pendiente»." sqref="K7:K43" xr:uid="{00000000-0002-0000-0200-000015000000}"/>
    <dataValidation allowBlank="1" showInputMessage="1" promptTitle="Impacto bruto: no se llena" prompt="No se llena. Se calcula con la columna G y el supuesto del escenario elegido en la celda C6. Si muestra «Pendiente», falta el dato, el supuesto o la fuente; no significa cero." sqref="L7:L43" xr:uid="{00000000-0002-0000-0200-000017000000}"/>
    <dataValidation allowBlank="1" showInputMessage="1" promptTitle="Medidas: escriba las que existen" prompt="Escriba las medidas que ya existen y reducen la pérdida: póliza, plan de continuidad, obra, cobertura o proveedor alterno. Ejemplo: «Póliza todo riesgo con deducible del 10 %». Si no hay ninguna, deje la celda vacía." sqref="M7:M43" xr:uid="{00000000-0002-0000-0200-000019000000}"/>
    <dataValidation allowBlank="1" showInputMessage="1" promptTitle="Costo de la medida: el número" prompt="Escriba solo el número: lo que cuesta implementar y mantener la medida durante el horizonte. Ejemplo: 520000. Si la misma medida cubre varios riesgos, anótela en uno solo. Si no hay medida, deje vacío." sqref="N7" xr:uid="{00000000-0002-0000-0200-00001B000000}"/>
    <dataValidation type="decimal" operator="greaterThanOrEqual" allowBlank="1" showInputMessage="1" showErrorMessage="1" errorTitle="Valor no permitido" error="Ingrese un número mayor o igual que cero." promptTitle="Costo de la medida: el número" prompt="Escriba solo el número: lo que cuesta implementar y mantener la medida durante el horizonte. Ejemplo: 520000. Si la misma medida cubre varios riesgos, anótela en uno solo. Si no hay medida, deje vacío." sqref="N8:N43" xr:uid="{00000000-0002-0000-0200-00001C000000}">
      <formula1>0</formula1>
    </dataValidation>
    <dataValidation allowBlank="1" showInputMessage="1" promptTitle="Efectividad: escriba con %" prompt="Escriba con el signo % qué parte de la pérdida evita o transfiere la medida, según la evidencia que tenga. Ejemplo: una póliza que paga el 70 % de la pérdida: 70%. Nunca 100%. Si no puede sustentarlo, deje vacío." sqref="O7" xr:uid="{00000000-0002-0000-0200-00001D000000}"/>
    <dataValidation type="decimal" allowBlank="1" showInputMessage="1" showErrorMessage="1" errorTitle="Valor no permitido" error="Ingrese un porcentaje entre 0 % y 100 %." promptTitle="Efectividad: escriba con %" prompt="Escriba con el signo % qué parte de la pérdida evita o transfiere la medida, según la evidencia que tenga. Ejemplo: una póliza que paga el 70 % de la pérdida: 70%. Nunca 100%. Si no puede sustentarlo, deje vacío." sqref="O8:O43" xr:uid="{00000000-0002-0000-0200-00001E000000}">
      <formula1>0</formula1>
      <formula2>1</formula2>
    </dataValidation>
    <dataValidation allowBlank="1" showInputMessage="1" promptTitle="Impacto residual: no se llena" prompt="No se llena. Es el impacto bruto menos la parte que cubren las medidas (columna O, con el tope de Parámetros, sección 7). Sin medida o sin efectividad, queda igual al bruto." sqref="P7:P43" xr:uid="{00000000-0002-0000-0200-00001F000000}"/>
    <dataValidation allowBlank="1" showInputMessage="1" promptTitle="Confianza: elija de la lista" prompt="Elija una opción. Alta: datos propios, recientes y validados. Media: datos parciales o con supuestos relevantes. Baja: datos escasos o cifra que depende sobre todo de supuestos. Define el margen del rango." sqref="Q7" xr:uid="{00000000-0002-0000-0200-000021000000}"/>
    <dataValidation type="list" allowBlank="1" showInputMessage="1" showErrorMessage="1" errorTitle="Valor no permitido" error="Seleccione un valor de la lista definida en Parámetros." promptTitle="Confianza: elija de la lista" prompt="Elija una opción. Alta: datos propios, recientes y validados. Media: datos parciales o con supuestos relevantes. Baja: datos escasos o cifra que depende sobre todo de supuestos. Define el margen del rango." sqref="Q8:Q43" xr:uid="{00000000-0002-0000-0200-000022000000}">
      <formula1>ListaConfianza</formula1>
    </dataValidation>
    <dataValidation allowBlank="1" showInputMessage="1" promptTitle="Responsable: sugerido" prompt="Aparece sugerido según el activo de la columna D. Para cambiarlo, elija otra área de la lista. Debe ser el área que gestiona el riesgo; no asigne a Auditoría Interna." sqref="R7" xr:uid="{00000000-0002-0000-0200-000023000000}"/>
    <dataValidation type="list" allowBlank="1" showInputMessage="1" showErrorMessage="1" errorTitle="Valor no permitido" error="Seleccione un valor de la lista definida en Parámetros." promptTitle="Responsable: sugerido" prompt="Aparece sugerido según el activo de la columna D. Para cambiarlo, elija otra área de la lista. Debe ser el área que gestiona el riesgo; no asigne a Auditoría Interna." sqref="R8:R43" xr:uid="{00000000-0002-0000-0200-000024000000}">
      <formula1>ListaResponsables</formula1>
    </dataValidation>
    <dataValidation allowBlank="1" showInputMessage="1" promptTitle="Plan de acción: escriba" prompt="Escriba una acción concreta, que empiece con un verbo y pueda verificarse. Ejemplo: «Probar la capacidad del pozo en época seca». Evite frases generales como «hacer seguimiento»." sqref="S7:S43" xr:uid="{00000000-0002-0000-0200-000025000000}"/>
    <dataValidation allowBlank="1" showInputMessage="1" promptTitle="Fecha de revisión: no se llena" prompt="No se llena. Se calcula con la fecha de la evaluación y la prioridad: los riesgos críticos se revisan antes. Las frecuencias se cambian en Parámetros, sección 2." sqref="T7:T43" xr:uid="{00000000-0002-0000-0200-000027000000}"/>
    <dataValidation allowBlank="1" showInputMessage="1" promptTitle="Prioridad: no se llena" prompt="No se llena. Compara el impacto residual con los umbrales de Parámetros, sección 2, y muestra Bajo, Moderado, Significativo o Crítico." sqref="U7:U43" xr:uid="{00000000-0002-0000-0200-000029000000}"/>
    <dataValidation allowBlank="1" showInputMessage="1" promptTitle="Validación: no se llena" prompt="No se llena. Indica qué corregir en la fila: dato pendiente, falta la fuente, posible doble conteo, medida sin efectividad o alto impacto con confianza baja. «Correcto» significa que la fila está completa." sqref="V7:V43" xr:uid="{00000000-0002-0000-0200-00002B000000}"/>
  </dataValidations>
  <pageMargins left="0.4" right="0.4" top="0.5" bottom="0.5" header="0.5" footer="0.5"/>
  <pageSetup paperSize="8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9"/>
  <sheetViews>
    <sheetView showGridLines="0" zoomScaleNormal="100" workbookViewId="0">
      <pane xSplit="2" ySplit="7" topLeftCell="C8" activePane="bottomRight" state="frozen"/>
      <selection pane="topRight"/>
      <selection pane="bottomLeft"/>
      <selection pane="bottomRight" activeCell="C9" sqref="C9"/>
    </sheetView>
  </sheetViews>
  <sheetFormatPr baseColWidth="10" defaultColWidth="0" defaultRowHeight="15" x14ac:dyDescent="0.25"/>
  <cols>
    <col min="1" max="1" width="11" customWidth="1"/>
    <col min="2" max="2" width="24" customWidth="1"/>
    <col min="3" max="3" width="58" customWidth="1"/>
    <col min="4" max="4" width="16" customWidth="1"/>
    <col min="5" max="7" width="17" customWidth="1"/>
    <col min="8" max="8" width="18" customWidth="1"/>
    <col min="9" max="9" width="50" customWidth="1"/>
    <col min="10" max="10" width="14" customWidth="1"/>
    <col min="11" max="16384" width="9.140625" hidden="1"/>
  </cols>
  <sheetData>
    <row r="1" spans="1:10" ht="15" customHeight="1" x14ac:dyDescent="0.25">
      <c r="A1" s="41" t="s">
        <v>367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5" customHeigh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0" ht="1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</row>
    <row r="4" spans="1:10" ht="15" customHeight="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</row>
    <row r="5" spans="1:10" ht="3" customHeight="1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</row>
    <row r="6" spans="1:10" ht="30" customHeight="1" x14ac:dyDescent="0.25">
      <c r="A6" s="68" t="s">
        <v>368</v>
      </c>
      <c r="B6" s="69"/>
      <c r="C6" s="69"/>
      <c r="D6" s="69"/>
      <c r="E6" s="69"/>
      <c r="F6" s="69"/>
      <c r="G6" s="69"/>
      <c r="H6" s="69"/>
      <c r="I6" s="69"/>
      <c r="J6" s="69"/>
    </row>
    <row r="7" spans="1:10" ht="47.25" customHeight="1" x14ac:dyDescent="0.25">
      <c r="A7" s="1" t="s">
        <v>256</v>
      </c>
      <c r="B7" s="1" t="s">
        <v>369</v>
      </c>
      <c r="C7" s="1" t="s">
        <v>370</v>
      </c>
      <c r="D7" s="1" t="s">
        <v>371</v>
      </c>
      <c r="E7" s="1" t="s">
        <v>372</v>
      </c>
      <c r="F7" s="1" t="s">
        <v>373</v>
      </c>
      <c r="G7" s="1" t="s">
        <v>374</v>
      </c>
      <c r="H7" s="1" t="s">
        <v>375</v>
      </c>
      <c r="I7" s="1" t="s">
        <v>260</v>
      </c>
      <c r="J7" s="1" t="s">
        <v>158</v>
      </c>
    </row>
    <row r="8" spans="1:10" ht="50.1" customHeight="1" x14ac:dyDescent="0.25">
      <c r="A8" s="20" t="str">
        <f t="shared" ref="A8:A19" si="0">IF($C8="","","OP-"&amp;TEXT(ROW()-7,"00"))</f>
        <v>OP-01</v>
      </c>
      <c r="B8" s="17" t="s">
        <v>207</v>
      </c>
      <c r="C8" s="17" t="s">
        <v>376</v>
      </c>
      <c r="D8" s="17" t="s">
        <v>377</v>
      </c>
      <c r="E8" s="21"/>
      <c r="F8" s="21">
        <v>1340000</v>
      </c>
      <c r="G8" s="21">
        <v>620000</v>
      </c>
      <c r="H8" s="22">
        <f t="shared" ref="H8:H19" si="1">IF($C8="","",IF(AND(COUNT($E8:$F8)&gt;0,$I8&lt;&gt;""),SUM($E8:$F8)-N($G8),"Pendiente"))</f>
        <v>720000</v>
      </c>
      <c r="I8" s="17" t="s">
        <v>378</v>
      </c>
      <c r="J8" s="17" t="s">
        <v>163</v>
      </c>
    </row>
    <row r="9" spans="1:10" ht="50.1" customHeight="1" x14ac:dyDescent="0.25">
      <c r="A9" s="20" t="str">
        <f t="shared" si="0"/>
        <v>OP-02</v>
      </c>
      <c r="B9" s="17" t="s">
        <v>211</v>
      </c>
      <c r="C9" s="17" t="s">
        <v>379</v>
      </c>
      <c r="D9" s="17" t="s">
        <v>380</v>
      </c>
      <c r="E9" s="21"/>
      <c r="F9" s="21">
        <v>1440000</v>
      </c>
      <c r="G9" s="21">
        <v>540000</v>
      </c>
      <c r="H9" s="22">
        <f t="shared" si="1"/>
        <v>900000</v>
      </c>
      <c r="I9" s="17" t="s">
        <v>381</v>
      </c>
      <c r="J9" s="17" t="s">
        <v>163</v>
      </c>
    </row>
    <row r="10" spans="1:10" ht="50.1" customHeight="1" x14ac:dyDescent="0.25">
      <c r="A10" s="20" t="str">
        <f t="shared" si="0"/>
        <v>OP-03</v>
      </c>
      <c r="B10" s="17" t="s">
        <v>216</v>
      </c>
      <c r="C10" s="17" t="s">
        <v>382</v>
      </c>
      <c r="D10" s="17" t="s">
        <v>383</v>
      </c>
      <c r="E10" s="21"/>
      <c r="F10" s="21">
        <v>1700000</v>
      </c>
      <c r="G10" s="21">
        <v>150000</v>
      </c>
      <c r="H10" s="22">
        <f t="shared" si="1"/>
        <v>1550000</v>
      </c>
      <c r="I10" s="17" t="s">
        <v>384</v>
      </c>
      <c r="J10" s="17" t="s">
        <v>161</v>
      </c>
    </row>
    <row r="11" spans="1:10" ht="50.1" customHeight="1" x14ac:dyDescent="0.25">
      <c r="A11" s="20" t="str">
        <f t="shared" si="0"/>
        <v>OP-04</v>
      </c>
      <c r="B11" s="17" t="s">
        <v>220</v>
      </c>
      <c r="C11" s="17" t="s">
        <v>385</v>
      </c>
      <c r="D11" s="17" t="s">
        <v>386</v>
      </c>
      <c r="E11" s="21">
        <v>3200000</v>
      </c>
      <c r="F11" s="21"/>
      <c r="G11" s="21">
        <v>900000</v>
      </c>
      <c r="H11" s="22">
        <f t="shared" si="1"/>
        <v>2300000</v>
      </c>
      <c r="I11" s="17" t="s">
        <v>387</v>
      </c>
      <c r="J11" s="17" t="s">
        <v>165</v>
      </c>
    </row>
    <row r="12" spans="1:10" ht="50.1" customHeight="1" x14ac:dyDescent="0.25">
      <c r="A12" s="20" t="str">
        <f t="shared" si="0"/>
        <v>OP-05</v>
      </c>
      <c r="B12" s="17" t="s">
        <v>224</v>
      </c>
      <c r="C12" s="17" t="s">
        <v>388</v>
      </c>
      <c r="D12" s="17" t="s">
        <v>389</v>
      </c>
      <c r="E12" s="21">
        <v>2400000</v>
      </c>
      <c r="F12" s="21"/>
      <c r="G12" s="21">
        <v>350000</v>
      </c>
      <c r="H12" s="22">
        <f t="shared" si="1"/>
        <v>2050000</v>
      </c>
      <c r="I12" s="17" t="s">
        <v>390</v>
      </c>
      <c r="J12" s="17" t="s">
        <v>165</v>
      </c>
    </row>
    <row r="13" spans="1:10" ht="50.1" customHeight="1" x14ac:dyDescent="0.25">
      <c r="A13" s="20" t="str">
        <f t="shared" si="0"/>
        <v>OP-06</v>
      </c>
      <c r="B13" s="17" t="s">
        <v>227</v>
      </c>
      <c r="C13" s="17" t="s">
        <v>391</v>
      </c>
      <c r="D13" s="17" t="s">
        <v>392</v>
      </c>
      <c r="E13" s="21"/>
      <c r="F13" s="21">
        <v>410000</v>
      </c>
      <c r="G13" s="21">
        <v>60000</v>
      </c>
      <c r="H13" s="22">
        <f t="shared" si="1"/>
        <v>350000</v>
      </c>
      <c r="I13" s="17" t="s">
        <v>393</v>
      </c>
      <c r="J13" s="17" t="s">
        <v>163</v>
      </c>
    </row>
    <row r="14" spans="1:10" ht="50.1" customHeight="1" x14ac:dyDescent="0.25">
      <c r="A14" s="20" t="str">
        <f t="shared" si="0"/>
        <v>OP-07</v>
      </c>
      <c r="B14" s="17" t="s">
        <v>231</v>
      </c>
      <c r="C14" s="17" t="s">
        <v>394</v>
      </c>
      <c r="D14" s="17" t="s">
        <v>395</v>
      </c>
      <c r="E14" s="21"/>
      <c r="F14" s="21">
        <v>2950000</v>
      </c>
      <c r="G14" s="21">
        <v>2300000</v>
      </c>
      <c r="H14" s="22">
        <f t="shared" si="1"/>
        <v>650000</v>
      </c>
      <c r="I14" s="17" t="s">
        <v>396</v>
      </c>
      <c r="J14" s="17" t="s">
        <v>165</v>
      </c>
    </row>
    <row r="15" spans="1:10" ht="50.1" customHeight="1" x14ac:dyDescent="0.25">
      <c r="A15" s="20" t="str">
        <f t="shared" si="0"/>
        <v>OP-08</v>
      </c>
      <c r="B15" s="17" t="s">
        <v>234</v>
      </c>
      <c r="C15" s="17" t="s">
        <v>397</v>
      </c>
      <c r="D15" s="17" t="s">
        <v>398</v>
      </c>
      <c r="E15" s="21"/>
      <c r="F15" s="21">
        <v>1460000</v>
      </c>
      <c r="G15" s="21">
        <v>780000</v>
      </c>
      <c r="H15" s="22">
        <f t="shared" si="1"/>
        <v>680000</v>
      </c>
      <c r="I15" s="17" t="s">
        <v>399</v>
      </c>
      <c r="J15" s="17" t="s">
        <v>163</v>
      </c>
    </row>
    <row r="16" spans="1:10" ht="50.1" customHeight="1" x14ac:dyDescent="0.25">
      <c r="A16" s="20" t="str">
        <f t="shared" si="0"/>
        <v>OP-09</v>
      </c>
      <c r="B16" s="17" t="s">
        <v>239</v>
      </c>
      <c r="C16" s="17" t="s">
        <v>400</v>
      </c>
      <c r="D16" s="17" t="s">
        <v>401</v>
      </c>
      <c r="E16" s="21">
        <v>520000</v>
      </c>
      <c r="F16" s="21">
        <v>380000</v>
      </c>
      <c r="G16" s="21">
        <v>700000</v>
      </c>
      <c r="H16" s="22">
        <f t="shared" si="1"/>
        <v>200000</v>
      </c>
      <c r="I16" s="17" t="s">
        <v>402</v>
      </c>
      <c r="J16" s="17" t="s">
        <v>163</v>
      </c>
    </row>
    <row r="17" spans="1:10" ht="50.1" customHeight="1" x14ac:dyDescent="0.25">
      <c r="A17" s="20" t="str">
        <f t="shared" si="0"/>
        <v>OP-10</v>
      </c>
      <c r="B17" s="17" t="s">
        <v>243</v>
      </c>
      <c r="C17" s="17" t="s">
        <v>403</v>
      </c>
      <c r="D17" s="17" t="s">
        <v>404</v>
      </c>
      <c r="E17" s="21"/>
      <c r="F17" s="21"/>
      <c r="G17" s="21"/>
      <c r="H17" s="22" t="str">
        <f t="shared" si="1"/>
        <v>Pendiente</v>
      </c>
      <c r="I17" s="17"/>
      <c r="J17" s="17"/>
    </row>
    <row r="18" spans="1:10" ht="30" customHeight="1" x14ac:dyDescent="0.25">
      <c r="A18" s="20" t="str">
        <f t="shared" si="0"/>
        <v/>
      </c>
      <c r="B18" s="17"/>
      <c r="C18" s="17"/>
      <c r="D18" s="17"/>
      <c r="E18" s="21"/>
      <c r="F18" s="21"/>
      <c r="G18" s="21"/>
      <c r="H18" s="22" t="str">
        <f t="shared" si="1"/>
        <v/>
      </c>
      <c r="I18" s="17"/>
      <c r="J18" s="17"/>
    </row>
    <row r="19" spans="1:10" ht="30" customHeight="1" x14ac:dyDescent="0.25">
      <c r="A19" s="20" t="str">
        <f t="shared" si="0"/>
        <v/>
      </c>
      <c r="B19" s="17"/>
      <c r="C19" s="17"/>
      <c r="D19" s="17"/>
      <c r="E19" s="21"/>
      <c r="F19" s="21"/>
      <c r="G19" s="21"/>
      <c r="H19" s="22" t="str">
        <f t="shared" si="1"/>
        <v/>
      </c>
      <c r="I19" s="17"/>
      <c r="J19" s="17"/>
    </row>
  </sheetData>
  <mergeCells count="3">
    <mergeCell ref="A6:J6"/>
    <mergeCell ref="A5:J5"/>
    <mergeCell ref="A1:J4"/>
  </mergeCells>
  <conditionalFormatting sqref="B8:B19">
    <cfRule type="expression" dxfId="12" priority="3">
      <formula>AND(B8&lt;&gt;"",COUNTIF(ListaOportunidades,B8)=0)</formula>
    </cfRule>
  </conditionalFormatting>
  <conditionalFormatting sqref="H8:H19">
    <cfRule type="expression" dxfId="11" priority="1">
      <formula>$H8="Pendiente"</formula>
    </cfRule>
  </conditionalFormatting>
  <conditionalFormatting sqref="J8:J19">
    <cfRule type="expression" dxfId="10" priority="2">
      <formula>$J8="Baja"</formula>
    </cfRule>
  </conditionalFormatting>
  <dataValidations count="15">
    <dataValidation allowBlank="1" showInputMessage="1" promptTitle="ID: no se llena" prompt="No se llena. Aparece solo cuando escribe la oportunidad en la columna C (OP-01, OP-02…)." sqref="A7:A19" xr:uid="{00000000-0002-0000-0300-000000000000}"/>
    <dataValidation allowBlank="1" showInputMessage="1" promptTitle="Tipo: elija de la lista" prompt="Elija el tipo que mejor describe la oportunidad: eficiencia energética, reducción de costos, energías renovables, nuevos mercados, entre otros. La lista se edita en Parámetros, sección 9." sqref="B7" xr:uid="{00000000-0002-0000-0300-000002000000}"/>
    <dataValidation type="list" allowBlank="1" showInputMessage="1" showErrorMessage="1" errorTitle="Valor no permitido" error="Seleccione un valor de la lista definida en Parámetros." promptTitle="Tipo: elija de la lista" prompt="Elija el tipo que mejor describe la oportunidad: eficiencia energética, reducción de costos, energías renovables, nuevos mercados, entre otros. La lista se edita en Parámetros, sección 9." sqref="B8:B19" xr:uid="{00000000-0002-0000-0300-000003000000}">
      <formula1>ListaOportunidades</formula1>
    </dataValidation>
    <dataValidation allowBlank="1" showInputMessage="1" promptTitle="Oportunidad: escriba una frase" prompt="Escriba en una frase qué haría la organización y qué gana con ello. Ejemplo: «Reusar el agua de proceso para reducir la captación y los días de parada por restricción»." sqref="C7:C19" xr:uid="{00000000-0002-0000-0300-000004000000}"/>
    <dataValidation allowBlank="1" showInputMessage="1" promptTitle="Riesgo relacionado: el ID" prompt="Escriba el ID del riesgo de la matriz del que nace la oportunidad. Ejemplo: RC-05. Si son dos, sepárelos con una barra: RC-08 / RC-09." sqref="D7:D19" xr:uid="{00000000-0002-0000-0300-000006000000}"/>
    <dataValidation allowBlank="1" showInputMessage="1" promptTitle="Ingresos: escriba el número" prompt="Escriba solo el número: ventas nuevas que generaría la oportunidad, acumuladas en su horizonte, en la moneda de Parámetros. Ejemplo: 2400000. Si no genera ingresos, deje vacío." sqref="E7" xr:uid="{00000000-0002-0000-0300-000008000000}"/>
    <dataValidation type="decimal" operator="greaterThanOrEqual" allowBlank="1" showInputMessage="1" showErrorMessage="1" errorTitle="Valor no permitido" error="Ingrese un número mayor o igual que cero." promptTitle="Ingresos: escriba el número" prompt="Escriba solo el número: ventas nuevas que generaría la oportunidad, acumuladas en su horizonte, en la moneda de Parámetros. Ejemplo: 2400000. Si no genera ingresos, deje vacío." sqref="E8:E19" xr:uid="{00000000-0002-0000-0300-000009000000}">
      <formula1>0</formula1>
    </dataValidation>
    <dataValidation allowBlank="1" showInputMessage="1" promptTitle="Ahorros y costos evitados" prompt="Escriba solo el número: lo que se dejaría de gastar (energía, agua, intereses) más los costos futuros que se evitarían (carbono, paradas, primas). Ejemplo: 1440000. Si no aplica, deje vacío." sqref="F7" xr:uid="{00000000-0002-0000-0300-00000A000000}"/>
    <dataValidation type="decimal" operator="greaterThanOrEqual" allowBlank="1" showInputMessage="1" showErrorMessage="1" errorTitle="Valor no permitido" error="Ingrese un número mayor o igual que cero." promptTitle="Ahorros y costos evitados" prompt="Escriba solo el número: lo que se dejaría de gastar (energía, agua, intereses) más los costos futuros que se evitarían (carbono, paradas, primas). Ejemplo: 1440000. Si no aplica, deje vacío." sqref="F8:F19" xr:uid="{00000000-0002-0000-0300-00000B000000}">
      <formula1>0</formula1>
    </dataValidation>
    <dataValidation allowBlank="1" showInputMessage="1" promptTitle="Inversión: escriba el número" prompt="Escriba solo el número: lo que hay que invertir para lograr la oportunidad. Ejemplo: 540000. Si no requiere inversión, escriba 0." sqref="G7" xr:uid="{00000000-0002-0000-0300-00000C000000}"/>
    <dataValidation type="decimal" operator="greaterThanOrEqual" allowBlank="1" showInputMessage="1" showErrorMessage="1" errorTitle="Valor no permitido" error="Ingrese un número mayor o igual que cero." promptTitle="Inversión: escriba el número" prompt="Escriba solo el número: lo que hay que invertir para lograr la oportunidad. Ejemplo: 540000. Si no requiere inversión, escriba 0." sqref="G8:G19" xr:uid="{00000000-0002-0000-0300-00000D000000}">
      <formula1>0</formula1>
    </dataValidation>
    <dataValidation allowBlank="1" showInputMessage="1" promptTitle="Valor neto: no se llena" prompt="No se llena. Suma las columnas E y F y resta la G. Si muestra «Pendiente», faltan las cifras o la fuente; no significa cero." sqref="H7:H19" xr:uid="{00000000-0002-0000-0300-00000E000000}"/>
    <dataValidation allowBlank="1" showInputMessage="1" promptTitle="Fuente y sustento: escriba" prompt="Escriba de dónde salen las cifras y cómo se estimaron. Ejemplo: «Oferta del proveedor de energía, marzo de 2026; ahorro calculado con el consumo del último año». Sin esto queda «Pendiente»." sqref="I7:I19" xr:uid="{00000000-0002-0000-0300-000010000000}"/>
    <dataValidation allowBlank="1" showInputMessage="1" promptTitle="Confianza: elija de la lista" prompt="Elija una opción. Alta: datos propios, recientes y validados. Media: datos parciales o con supuestos relevantes. Baja: datos escasos o cifra que depende sobre todo de supuestos." sqref="J7" xr:uid="{00000000-0002-0000-0300-000012000000}"/>
    <dataValidation type="list" allowBlank="1" showInputMessage="1" showErrorMessage="1" errorTitle="Valor no permitido" error="Seleccione un valor de la lista definida en Parámetros." promptTitle="Confianza: elija de la lista" prompt="Elija una opción. Alta: datos propios, recientes y validados. Media: datos parciales o con supuestos relevantes. Baja: datos escasos o cifra que depende sobre todo de supuestos." sqref="J8:J19" xr:uid="{00000000-0002-0000-0300-000013000000}">
      <formula1>ListaConfianza</formula1>
    </dataValidation>
  </dataValidations>
  <pageMargins left="0.4" right="0.4" top="0.5" bottom="0.5" header="0.5" footer="0.5"/>
  <pageSetup paperSize="9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6"/>
  <sheetViews>
    <sheetView showGridLines="0" zoomScaleNormal="100" workbookViewId="0">
      <selection activeCell="B20" sqref="B20:I20"/>
    </sheetView>
  </sheetViews>
  <sheetFormatPr baseColWidth="10" defaultColWidth="0" defaultRowHeight="15" x14ac:dyDescent="0.25"/>
  <cols>
    <col min="1" max="1" width="3" customWidth="1"/>
    <col min="2" max="2" width="34" customWidth="1"/>
    <col min="3" max="9" width="19" customWidth="1"/>
    <col min="10" max="10" width="3" customWidth="1"/>
    <col min="11" max="16384" width="9.140625" hidden="1"/>
  </cols>
  <sheetData>
    <row r="1" spans="1:10" ht="15" customHeight="1" x14ac:dyDescent="0.25">
      <c r="A1" s="41" t="s">
        <v>472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5" customHeigh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0" ht="1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</row>
    <row r="4" spans="1:10" ht="15" customHeight="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</row>
    <row r="5" spans="1:10" ht="3" customHeight="1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</row>
    <row r="7" spans="1:10" ht="15.75" customHeight="1" x14ac:dyDescent="0.25">
      <c r="B7" s="36" t="s">
        <v>405</v>
      </c>
      <c r="C7" s="37"/>
      <c r="D7" s="37"/>
      <c r="E7" s="37"/>
      <c r="F7" s="37"/>
      <c r="G7" s="37"/>
      <c r="H7" s="37"/>
      <c r="I7" s="37"/>
    </row>
    <row r="8" spans="1:10" ht="37.5" customHeight="1" x14ac:dyDescent="0.25">
      <c r="B8" s="46" t="s">
        <v>406</v>
      </c>
      <c r="C8" s="40"/>
      <c r="D8" s="40"/>
      <c r="E8" s="40"/>
      <c r="F8" s="40"/>
      <c r="G8" s="40"/>
      <c r="H8" s="40"/>
      <c r="I8" s="40"/>
    </row>
    <row r="9" spans="1:10" ht="47.25" customHeight="1" x14ac:dyDescent="0.25">
      <c r="B9" s="2" t="s">
        <v>88</v>
      </c>
      <c r="C9" s="2" t="s">
        <v>407</v>
      </c>
      <c r="D9" s="2" t="s">
        <v>408</v>
      </c>
      <c r="E9" s="2" t="s">
        <v>409</v>
      </c>
      <c r="F9" s="2" t="s">
        <v>410</v>
      </c>
      <c r="G9" s="2" t="s">
        <v>411</v>
      </c>
      <c r="H9" s="2" t="s">
        <v>412</v>
      </c>
      <c r="I9" s="2" t="s">
        <v>413</v>
      </c>
    </row>
    <row r="10" spans="1:10" ht="24" customHeight="1" x14ac:dyDescent="0.25">
      <c r="B10" s="3" t="str">
        <f>Parámetros!$B$38</f>
        <v>Base</v>
      </c>
      <c r="C10" s="26">
        <f>SUMPRODUCT(--('Matriz de cuantificación'!$K$8:$K$43&lt;&gt;""),--ISNUMBER('Matriz de cuantificación'!$G$8:$G$43),--ISNUMBER('Matriz de cuantificación'!$H$8:$H$43),COUNTIF(ListaMetodos,'Matriz de cuantificación'!$F$8:$F$43))</f>
        <v>24</v>
      </c>
      <c r="D10" s="21">
        <f>SUMPRODUCT(--('Matriz de cuantificación'!$K$8:$K$43&lt;&gt;""),--ISNUMBER('Matriz de cuantificación'!$G$8:$G$43),--ISNUMBER('Matriz de cuantificación'!$H$8:$H$43),COUNTIF(ListaMetodos,'Matriz de cuantificación'!$F$8:$F$43),1-COUNTIFS(ListaMetodos,'Matriz de cuantificación'!$F$8:$F$43,MetOperacion,"+"),'Matriz de cuantificación'!$G$8:$G$43,'Matriz de cuantificación'!$H$8:$H$43,1-(SUMIF(ListaConfianza,'Matriz de cuantificación'!$Q$8:$Q$43,MargenConfianza)+('Matriz de cuantificación'!$Q$8:$Q$43="")*MAX(MargenConfianza)))+SUMPRODUCT(--('Matriz de cuantificación'!$K$8:$K$43&lt;&gt;""),--ISNUMBER('Matriz de cuantificación'!$G$8:$G$43),--ISNUMBER('Matriz de cuantificación'!$H$8:$H$43),COUNTIF(ListaMetodos,'Matriz de cuantificación'!$F$8:$F$43),COUNTIFS(ListaMetodos,'Matriz de cuantificación'!$F$8:$F$43,MetOperacion,"+"),'Matriz de cuantificación'!$G$8:$G$43,1-(SUMIF(ListaConfianza,'Matriz de cuantificación'!$Q$8:$Q$43,MargenConfianza)+('Matriz de cuantificación'!$Q$8:$Q$43="")*MAX(MargenConfianza)))+SUMPRODUCT(--('Matriz de cuantificación'!$K$8:$K$43&lt;&gt;""),--ISNUMBER('Matriz de cuantificación'!$G$8:$G$43),--ISNUMBER('Matriz de cuantificación'!$H$8:$H$43),COUNTIF(ListaMetodos,'Matriz de cuantificación'!$F$8:$F$43),COUNTIFS(ListaMetodos,'Matriz de cuantificación'!$F$8:$F$43,MetOperacion,"+"),'Matriz de cuantificación'!$H$8:$H$43,1-(SUMIF(ListaConfianza,'Matriz de cuantificación'!$Q$8:$Q$43,MargenConfianza)+('Matriz de cuantificación'!$Q$8:$Q$43="")*MAX(MargenConfianza)))</f>
        <v>6733500</v>
      </c>
      <c r="E10" s="9">
        <f>SUMPRODUCT(--('Matriz de cuantificación'!$K$8:$K$43&lt;&gt;""),--ISNUMBER('Matriz de cuantificación'!$G$8:$G$43),--ISNUMBER('Matriz de cuantificación'!$H$8:$H$43),COUNTIF(ListaMetodos,'Matriz de cuantificación'!$F$8:$F$43),1-COUNTIFS(ListaMetodos,'Matriz de cuantificación'!$F$8:$F$43,MetOperacion,"+"),'Matriz de cuantificación'!$G$8:$G$43,'Matriz de cuantificación'!$H$8:$H$43)+SUMPRODUCT(--('Matriz de cuantificación'!$K$8:$K$43&lt;&gt;""),--ISNUMBER('Matriz de cuantificación'!$G$8:$G$43),--ISNUMBER('Matriz de cuantificación'!$H$8:$H$43),COUNTIF(ListaMetodos,'Matriz de cuantificación'!$F$8:$F$43),COUNTIFS(ListaMetodos,'Matriz de cuantificación'!$F$8:$F$43,MetOperacion,"+"),'Matriz de cuantificación'!$G$8:$G$43)+SUMPRODUCT(--('Matriz de cuantificación'!$K$8:$K$43&lt;&gt;""),--ISNUMBER('Matriz de cuantificación'!$G$8:$G$43),--ISNUMBER('Matriz de cuantificación'!$H$8:$H$43),COUNTIF(ListaMetodos,'Matriz de cuantificación'!$F$8:$F$43),COUNTIFS(ListaMetodos,'Matriz de cuantificación'!$F$8:$F$43,MetOperacion,"+"),'Matriz de cuantificación'!$H$8:$H$43)</f>
        <v>9982000</v>
      </c>
      <c r="F10" s="21">
        <f>SUMPRODUCT(--('Matriz de cuantificación'!$K$8:$K$43&lt;&gt;""),--ISNUMBER('Matriz de cuantificación'!$G$8:$G$43),--ISNUMBER('Matriz de cuantificación'!$H$8:$H$43),COUNTIF(ListaMetodos,'Matriz de cuantificación'!$F$8:$F$43),1-COUNTIFS(ListaMetodos,'Matriz de cuantificación'!$F$8:$F$43,MetOperacion,"+"),'Matriz de cuantificación'!$G$8:$G$43,'Matriz de cuantificación'!$H$8:$H$43,1+(SUMIF(ListaConfianza,'Matriz de cuantificación'!$Q$8:$Q$43,MargenConfianza)+('Matriz de cuantificación'!$Q$8:$Q$43="")*MAX(MargenConfianza)))+SUMPRODUCT(--('Matriz de cuantificación'!$K$8:$K$43&lt;&gt;""),--ISNUMBER('Matriz de cuantificación'!$G$8:$G$43),--ISNUMBER('Matriz de cuantificación'!$H$8:$H$43),COUNTIF(ListaMetodos,'Matriz de cuantificación'!$F$8:$F$43),COUNTIFS(ListaMetodos,'Matriz de cuantificación'!$F$8:$F$43,MetOperacion,"+"),'Matriz de cuantificación'!$G$8:$G$43,1+(SUMIF(ListaConfianza,'Matriz de cuantificación'!$Q$8:$Q$43,MargenConfianza)+('Matriz de cuantificación'!$Q$8:$Q$43="")*MAX(MargenConfianza)))+SUMPRODUCT(--('Matriz de cuantificación'!$K$8:$K$43&lt;&gt;""),--ISNUMBER('Matriz de cuantificación'!$G$8:$G$43),--ISNUMBER('Matriz de cuantificación'!$H$8:$H$43),COUNTIF(ListaMetodos,'Matriz de cuantificación'!$F$8:$F$43),COUNTIFS(ListaMetodos,'Matriz de cuantificación'!$F$8:$F$43,MetOperacion,"+"),'Matriz de cuantificación'!$H$8:$H$43,1+(SUMIF(ListaConfianza,'Matriz de cuantificación'!$Q$8:$Q$43,MargenConfianza)+('Matriz de cuantificación'!$Q$8:$Q$43="")*MAX(MargenConfianza)))</f>
        <v>13230500</v>
      </c>
      <c r="G10" s="9">
        <f>SUMPRODUCT(--('Matriz de cuantificación'!$K$8:$K$43&lt;&gt;""),--ISNUMBER('Matriz de cuantificación'!$G$8:$G$43),--ISNUMBER('Matriz de cuantificación'!$H$8:$H$43),COUNTIF(ListaMetodos,'Matriz de cuantificación'!$F$8:$F$43),1-COUNTIFS(ListaMetodos,'Matriz de cuantificación'!$F$8:$F$43,MetOperacion,"+"),'Matriz de cuantificación'!$G$8:$G$43,'Matriz de cuantificación'!$H$8:$H$43,1-('Matriz de cuantificación'!$M$8:$M$43&lt;&gt;"")*(('Matriz de cuantificación'!$O$8:$O$43&gt;TopeEfectividad)*TopeEfectividad+('Matriz de cuantificación'!$O$8:$O$43&lt;=TopeEfectividad)*'Matriz de cuantificación'!$O$8:$O$43))+SUMPRODUCT(--('Matriz de cuantificación'!$K$8:$K$43&lt;&gt;""),--ISNUMBER('Matriz de cuantificación'!$G$8:$G$43),--ISNUMBER('Matriz de cuantificación'!$H$8:$H$43),COUNTIF(ListaMetodos,'Matriz de cuantificación'!$F$8:$F$43),COUNTIFS(ListaMetodos,'Matriz de cuantificación'!$F$8:$F$43,MetOperacion,"+"),'Matriz de cuantificación'!$G$8:$G$43,1-('Matriz de cuantificación'!$M$8:$M$43&lt;&gt;"")*(('Matriz de cuantificación'!$O$8:$O$43&gt;TopeEfectividad)*TopeEfectividad+('Matriz de cuantificación'!$O$8:$O$43&lt;=TopeEfectividad)*'Matriz de cuantificación'!$O$8:$O$43))+SUMPRODUCT(--('Matriz de cuantificación'!$K$8:$K$43&lt;&gt;""),--ISNUMBER('Matriz de cuantificación'!$G$8:$G$43),--ISNUMBER('Matriz de cuantificación'!$H$8:$H$43),COUNTIF(ListaMetodos,'Matriz de cuantificación'!$F$8:$F$43),COUNTIFS(ListaMetodos,'Matriz de cuantificación'!$F$8:$F$43,MetOperacion,"+"),'Matriz de cuantificación'!$H$8:$H$43,1-('Matriz de cuantificación'!$M$8:$M$43&lt;&gt;"")*(('Matriz de cuantificación'!$O$8:$O$43&gt;TopeEfectividad)*TopeEfectividad+('Matriz de cuantificación'!$O$8:$O$43&lt;=TopeEfectividad)*'Matriz de cuantificación'!$O$8:$O$43))</f>
        <v>7606150</v>
      </c>
      <c r="H10" s="23">
        <f>IF(E10=0,"n. d.",(E10-G10)/E10)</f>
        <v>0.2380134241634943</v>
      </c>
      <c r="I10" s="23">
        <f>IF(EBITDA=0,"n. d.",E10/EBITDA)</f>
        <v>0.83183333333333331</v>
      </c>
    </row>
    <row r="11" spans="1:10" ht="24" customHeight="1" x14ac:dyDescent="0.25">
      <c r="B11" s="3" t="str">
        <f>Parámetros!$B$39</f>
        <v>Moderado</v>
      </c>
      <c r="C11" s="26">
        <f>SUMPRODUCT(--('Matriz de cuantificación'!$K$8:$K$43&lt;&gt;""),--ISNUMBER('Matriz de cuantificación'!$G$8:$G$43),--ISNUMBER('Matriz de cuantificación'!$I$8:$I$43),COUNTIF(ListaMetodos,'Matriz de cuantificación'!$F$8:$F$43))</f>
        <v>24</v>
      </c>
      <c r="D11" s="21">
        <f>SUMPRODUCT(--('Matriz de cuantificación'!$K$8:$K$43&lt;&gt;""),--ISNUMBER('Matriz de cuantificación'!$G$8:$G$43),--ISNUMBER('Matriz de cuantificación'!$I$8:$I$43),COUNTIF(ListaMetodos,'Matriz de cuantificación'!$F$8:$F$43),1-COUNTIFS(ListaMetodos,'Matriz de cuantificación'!$F$8:$F$43,MetOperacion,"+"),'Matriz de cuantificación'!$G$8:$G$43,'Matriz de cuantificación'!$I$8:$I$43,1-(SUMIF(ListaConfianza,'Matriz de cuantificación'!$Q$8:$Q$43,MargenConfianza)+('Matriz de cuantificación'!$Q$8:$Q$43="")*MAX(MargenConfianza)))+SUMPRODUCT(--('Matriz de cuantificación'!$K$8:$K$43&lt;&gt;""),--ISNUMBER('Matriz de cuantificación'!$G$8:$G$43),--ISNUMBER('Matriz de cuantificación'!$I$8:$I$43),COUNTIF(ListaMetodos,'Matriz de cuantificación'!$F$8:$F$43),COUNTIFS(ListaMetodos,'Matriz de cuantificación'!$F$8:$F$43,MetOperacion,"+"),'Matriz de cuantificación'!$G$8:$G$43,1-(SUMIF(ListaConfianza,'Matriz de cuantificación'!$Q$8:$Q$43,MargenConfianza)+('Matriz de cuantificación'!$Q$8:$Q$43="")*MAX(MargenConfianza)))+SUMPRODUCT(--('Matriz de cuantificación'!$K$8:$K$43&lt;&gt;""),--ISNUMBER('Matriz de cuantificación'!$G$8:$G$43),--ISNUMBER('Matriz de cuantificación'!$I$8:$I$43),COUNTIF(ListaMetodos,'Matriz de cuantificación'!$F$8:$F$43),COUNTIFS(ListaMetodos,'Matriz de cuantificación'!$F$8:$F$43,MetOperacion,"+"),'Matriz de cuantificación'!$I$8:$I$43,1-(SUMIF(ListaConfianza,'Matriz de cuantificación'!$Q$8:$Q$43,MargenConfianza)+('Matriz de cuantificación'!$Q$8:$Q$43="")*MAX(MargenConfianza)))</f>
        <v>19025150</v>
      </c>
      <c r="E11" s="9">
        <f>SUMPRODUCT(--('Matriz de cuantificación'!$K$8:$K$43&lt;&gt;""),--ISNUMBER('Matriz de cuantificación'!$G$8:$G$43),--ISNUMBER('Matriz de cuantificación'!$I$8:$I$43),COUNTIF(ListaMetodos,'Matriz de cuantificación'!$F$8:$F$43),1-COUNTIFS(ListaMetodos,'Matriz de cuantificación'!$F$8:$F$43,MetOperacion,"+"),'Matriz de cuantificación'!$G$8:$G$43,'Matriz de cuantificación'!$I$8:$I$43)+SUMPRODUCT(--('Matriz de cuantificación'!$K$8:$K$43&lt;&gt;""),--ISNUMBER('Matriz de cuantificación'!$G$8:$G$43),--ISNUMBER('Matriz de cuantificación'!$I$8:$I$43),COUNTIF(ListaMetodos,'Matriz de cuantificación'!$F$8:$F$43),COUNTIFS(ListaMetodos,'Matriz de cuantificación'!$F$8:$F$43,MetOperacion,"+"),'Matriz de cuantificación'!$G$8:$G$43)+SUMPRODUCT(--('Matriz de cuantificación'!$K$8:$K$43&lt;&gt;""),--ISNUMBER('Matriz de cuantificación'!$G$8:$G$43),--ISNUMBER('Matriz de cuantificación'!$I$8:$I$43),COUNTIF(ListaMetodos,'Matriz de cuantificación'!$F$8:$F$43),COUNTIFS(ListaMetodos,'Matriz de cuantificación'!$F$8:$F$43,MetOperacion,"+"),'Matriz de cuantificación'!$I$8:$I$43)</f>
        <v>28362000</v>
      </c>
      <c r="F11" s="21">
        <f>SUMPRODUCT(--('Matriz de cuantificación'!$K$8:$K$43&lt;&gt;""),--ISNUMBER('Matriz de cuantificación'!$G$8:$G$43),--ISNUMBER('Matriz de cuantificación'!$I$8:$I$43),COUNTIF(ListaMetodos,'Matriz de cuantificación'!$F$8:$F$43),1-COUNTIFS(ListaMetodos,'Matriz de cuantificación'!$F$8:$F$43,MetOperacion,"+"),'Matriz de cuantificación'!$G$8:$G$43,'Matriz de cuantificación'!$I$8:$I$43,1+(SUMIF(ListaConfianza,'Matriz de cuantificación'!$Q$8:$Q$43,MargenConfianza)+('Matriz de cuantificación'!$Q$8:$Q$43="")*MAX(MargenConfianza)))+SUMPRODUCT(--('Matriz de cuantificación'!$K$8:$K$43&lt;&gt;""),--ISNUMBER('Matriz de cuantificación'!$G$8:$G$43),--ISNUMBER('Matriz de cuantificación'!$I$8:$I$43),COUNTIF(ListaMetodos,'Matriz de cuantificación'!$F$8:$F$43),COUNTIFS(ListaMetodos,'Matriz de cuantificación'!$F$8:$F$43,MetOperacion,"+"),'Matriz de cuantificación'!$G$8:$G$43,1+(SUMIF(ListaConfianza,'Matriz de cuantificación'!$Q$8:$Q$43,MargenConfianza)+('Matriz de cuantificación'!$Q$8:$Q$43="")*MAX(MargenConfianza)))+SUMPRODUCT(--('Matriz de cuantificación'!$K$8:$K$43&lt;&gt;""),--ISNUMBER('Matriz de cuantificación'!$G$8:$G$43),--ISNUMBER('Matriz de cuantificación'!$I$8:$I$43),COUNTIF(ListaMetodos,'Matriz de cuantificación'!$F$8:$F$43),COUNTIFS(ListaMetodos,'Matriz de cuantificación'!$F$8:$F$43,MetOperacion,"+"),'Matriz de cuantificación'!$I$8:$I$43,1+(SUMIF(ListaConfianza,'Matriz de cuantificación'!$Q$8:$Q$43,MargenConfianza)+('Matriz de cuantificación'!$Q$8:$Q$43="")*MAX(MargenConfianza)))</f>
        <v>37698850</v>
      </c>
      <c r="G11" s="9">
        <f>SUMPRODUCT(--('Matriz de cuantificación'!$K$8:$K$43&lt;&gt;""),--ISNUMBER('Matriz de cuantificación'!$G$8:$G$43),--ISNUMBER('Matriz de cuantificación'!$I$8:$I$43),COUNTIF(ListaMetodos,'Matriz de cuantificación'!$F$8:$F$43),1-COUNTIFS(ListaMetodos,'Matriz de cuantificación'!$F$8:$F$43,MetOperacion,"+"),'Matriz de cuantificación'!$G$8:$G$43,'Matriz de cuantificación'!$I$8:$I$43,1-('Matriz de cuantificación'!$M$8:$M$43&lt;&gt;"")*(('Matriz de cuantificación'!$O$8:$O$43&gt;TopeEfectividad)*TopeEfectividad+('Matriz de cuantificación'!$O$8:$O$43&lt;=TopeEfectividad)*'Matriz de cuantificación'!$O$8:$O$43))+SUMPRODUCT(--('Matriz de cuantificación'!$K$8:$K$43&lt;&gt;""),--ISNUMBER('Matriz de cuantificación'!$G$8:$G$43),--ISNUMBER('Matriz de cuantificación'!$I$8:$I$43),COUNTIF(ListaMetodos,'Matriz de cuantificación'!$F$8:$F$43),COUNTIFS(ListaMetodos,'Matriz de cuantificación'!$F$8:$F$43,MetOperacion,"+"),'Matriz de cuantificación'!$G$8:$G$43,1-('Matriz de cuantificación'!$M$8:$M$43&lt;&gt;"")*(('Matriz de cuantificación'!$O$8:$O$43&gt;TopeEfectividad)*TopeEfectividad+('Matriz de cuantificación'!$O$8:$O$43&lt;=TopeEfectividad)*'Matriz de cuantificación'!$O$8:$O$43))+SUMPRODUCT(--('Matriz de cuantificación'!$K$8:$K$43&lt;&gt;""),--ISNUMBER('Matriz de cuantificación'!$G$8:$G$43),--ISNUMBER('Matriz de cuantificación'!$I$8:$I$43),COUNTIF(ListaMetodos,'Matriz de cuantificación'!$F$8:$F$43),COUNTIFS(ListaMetodos,'Matriz de cuantificación'!$F$8:$F$43,MetOperacion,"+"),'Matriz de cuantificación'!$I$8:$I$43,1-('Matriz de cuantificación'!$M$8:$M$43&lt;&gt;"")*(('Matriz de cuantificación'!$O$8:$O$43&gt;TopeEfectividad)*TopeEfectividad+('Matriz de cuantificación'!$O$8:$O$43&lt;=TopeEfectividad)*'Matriz de cuantificación'!$O$8:$O$43))</f>
        <v>21405600</v>
      </c>
      <c r="H11" s="23">
        <f>IF(E11=0,"n. d.",(E11-G11)/E11)</f>
        <v>0.24527184260630422</v>
      </c>
      <c r="I11" s="23">
        <f>IF(EBITDA=0,"n. d.",E11/EBITDA)</f>
        <v>2.3635000000000002</v>
      </c>
    </row>
    <row r="12" spans="1:10" ht="24" customHeight="1" x14ac:dyDescent="0.25">
      <c r="B12" s="3" t="str">
        <f>Parámetros!$B$40</f>
        <v>Severo</v>
      </c>
      <c r="C12" s="26">
        <f>SUMPRODUCT(--('Matriz de cuantificación'!$K$8:$K$43&lt;&gt;""),--ISNUMBER('Matriz de cuantificación'!$G$8:$G$43),--ISNUMBER('Matriz de cuantificación'!$J$8:$J$43),COUNTIF(ListaMetodos,'Matriz de cuantificación'!$F$8:$F$43))</f>
        <v>24</v>
      </c>
      <c r="D12" s="21">
        <f>SUMPRODUCT(--('Matriz de cuantificación'!$K$8:$K$43&lt;&gt;""),--ISNUMBER('Matriz de cuantificación'!$G$8:$G$43),--ISNUMBER('Matriz de cuantificación'!$J$8:$J$43),COUNTIF(ListaMetodos,'Matriz de cuantificación'!$F$8:$F$43),1-COUNTIFS(ListaMetodos,'Matriz de cuantificación'!$F$8:$F$43,MetOperacion,"+"),'Matriz de cuantificación'!$G$8:$G$43,'Matriz de cuantificación'!$J$8:$J$43,1-(SUMIF(ListaConfianza,'Matriz de cuantificación'!$Q$8:$Q$43,MargenConfianza)+('Matriz de cuantificación'!$Q$8:$Q$43="")*MAX(MargenConfianza)))+SUMPRODUCT(--('Matriz de cuantificación'!$K$8:$K$43&lt;&gt;""),--ISNUMBER('Matriz de cuantificación'!$G$8:$G$43),--ISNUMBER('Matriz de cuantificación'!$J$8:$J$43),COUNTIF(ListaMetodos,'Matriz de cuantificación'!$F$8:$F$43),COUNTIFS(ListaMetodos,'Matriz de cuantificación'!$F$8:$F$43,MetOperacion,"+"),'Matriz de cuantificación'!$G$8:$G$43,1-(SUMIF(ListaConfianza,'Matriz de cuantificación'!$Q$8:$Q$43,MargenConfianza)+('Matriz de cuantificación'!$Q$8:$Q$43="")*MAX(MargenConfianza)))+SUMPRODUCT(--('Matriz de cuantificación'!$K$8:$K$43&lt;&gt;""),--ISNUMBER('Matriz de cuantificación'!$G$8:$G$43),--ISNUMBER('Matriz de cuantificación'!$J$8:$J$43),COUNTIF(ListaMetodos,'Matriz de cuantificación'!$F$8:$F$43),COUNTIFS(ListaMetodos,'Matriz de cuantificación'!$F$8:$F$43,MetOperacion,"+"),'Matriz de cuantificación'!$J$8:$J$43,1-(SUMIF(ListaConfianza,'Matriz de cuantificación'!$Q$8:$Q$43,MargenConfianza)+('Matriz de cuantificación'!$Q$8:$Q$43="")*MAX(MargenConfianza)))</f>
        <v>42636720</v>
      </c>
      <c r="E12" s="9">
        <f>SUMPRODUCT(--('Matriz de cuantificación'!$K$8:$K$43&lt;&gt;""),--ISNUMBER('Matriz de cuantificación'!$G$8:$G$43),--ISNUMBER('Matriz de cuantificación'!$J$8:$J$43),COUNTIF(ListaMetodos,'Matriz de cuantificación'!$F$8:$F$43),1-COUNTIFS(ListaMetodos,'Matriz de cuantificación'!$F$8:$F$43,MetOperacion,"+"),'Matriz de cuantificación'!$G$8:$G$43,'Matriz de cuantificación'!$J$8:$J$43)+SUMPRODUCT(--('Matriz de cuantificación'!$K$8:$K$43&lt;&gt;""),--ISNUMBER('Matriz de cuantificación'!$G$8:$G$43),--ISNUMBER('Matriz de cuantificación'!$J$8:$J$43),COUNTIF(ListaMetodos,'Matriz de cuantificación'!$F$8:$F$43),COUNTIFS(ListaMetodos,'Matriz de cuantificación'!$F$8:$F$43,MetOperacion,"+"),'Matriz de cuantificación'!$G$8:$G$43)+SUMPRODUCT(--('Matriz de cuantificación'!$K$8:$K$43&lt;&gt;""),--ISNUMBER('Matriz de cuantificación'!$G$8:$G$43),--ISNUMBER('Matriz de cuantificación'!$J$8:$J$43),COUNTIF(ListaMetodos,'Matriz de cuantificación'!$F$8:$F$43),COUNTIFS(ListaMetodos,'Matriz de cuantificación'!$F$8:$F$43,MetOperacion,"+"),'Matriz de cuantificación'!$J$8:$J$43)</f>
        <v>63340300</v>
      </c>
      <c r="F12" s="21">
        <f>SUMPRODUCT(--('Matriz de cuantificación'!$K$8:$K$43&lt;&gt;""),--ISNUMBER('Matriz de cuantificación'!$G$8:$G$43),--ISNUMBER('Matriz de cuantificación'!$J$8:$J$43),COUNTIF(ListaMetodos,'Matriz de cuantificación'!$F$8:$F$43),1-COUNTIFS(ListaMetodos,'Matriz de cuantificación'!$F$8:$F$43,MetOperacion,"+"),'Matriz de cuantificación'!$G$8:$G$43,'Matriz de cuantificación'!$J$8:$J$43,1+(SUMIF(ListaConfianza,'Matriz de cuantificación'!$Q$8:$Q$43,MargenConfianza)+('Matriz de cuantificación'!$Q$8:$Q$43="")*MAX(MargenConfianza)))+SUMPRODUCT(--('Matriz de cuantificación'!$K$8:$K$43&lt;&gt;""),--ISNUMBER('Matriz de cuantificación'!$G$8:$G$43),--ISNUMBER('Matriz de cuantificación'!$J$8:$J$43),COUNTIF(ListaMetodos,'Matriz de cuantificación'!$F$8:$F$43),COUNTIFS(ListaMetodos,'Matriz de cuantificación'!$F$8:$F$43,MetOperacion,"+"),'Matriz de cuantificación'!$G$8:$G$43,1+(SUMIF(ListaConfianza,'Matriz de cuantificación'!$Q$8:$Q$43,MargenConfianza)+('Matriz de cuantificación'!$Q$8:$Q$43="")*MAX(MargenConfianza)))+SUMPRODUCT(--('Matriz de cuantificación'!$K$8:$K$43&lt;&gt;""),--ISNUMBER('Matriz de cuantificación'!$G$8:$G$43),--ISNUMBER('Matriz de cuantificación'!$J$8:$J$43),COUNTIF(ListaMetodos,'Matriz de cuantificación'!$F$8:$F$43),COUNTIFS(ListaMetodos,'Matriz de cuantificación'!$F$8:$F$43,MetOperacion,"+"),'Matriz de cuantificación'!$J$8:$J$43,1+(SUMIF(ListaConfianza,'Matriz de cuantificación'!$Q$8:$Q$43,MargenConfianza)+('Matriz de cuantificación'!$Q$8:$Q$43="")*MAX(MargenConfianza)))</f>
        <v>84043880</v>
      </c>
      <c r="G12" s="9">
        <f>SUMPRODUCT(--('Matriz de cuantificación'!$K$8:$K$43&lt;&gt;""),--ISNUMBER('Matriz de cuantificación'!$G$8:$G$43),--ISNUMBER('Matriz de cuantificación'!$J$8:$J$43),COUNTIF(ListaMetodos,'Matriz de cuantificación'!$F$8:$F$43),1-COUNTIFS(ListaMetodos,'Matriz de cuantificación'!$F$8:$F$43,MetOperacion,"+"),'Matriz de cuantificación'!$G$8:$G$43,'Matriz de cuantificación'!$J$8:$J$43,1-('Matriz de cuantificación'!$M$8:$M$43&lt;&gt;"")*(('Matriz de cuantificación'!$O$8:$O$43&gt;TopeEfectividad)*TopeEfectividad+('Matriz de cuantificación'!$O$8:$O$43&lt;=TopeEfectividad)*'Matriz de cuantificación'!$O$8:$O$43))+SUMPRODUCT(--('Matriz de cuantificación'!$K$8:$K$43&lt;&gt;""),--ISNUMBER('Matriz de cuantificación'!$G$8:$G$43),--ISNUMBER('Matriz de cuantificación'!$J$8:$J$43),COUNTIF(ListaMetodos,'Matriz de cuantificación'!$F$8:$F$43),COUNTIFS(ListaMetodos,'Matriz de cuantificación'!$F$8:$F$43,MetOperacion,"+"),'Matriz de cuantificación'!$G$8:$G$43,1-('Matriz de cuantificación'!$M$8:$M$43&lt;&gt;"")*(('Matriz de cuantificación'!$O$8:$O$43&gt;TopeEfectividad)*TopeEfectividad+('Matriz de cuantificación'!$O$8:$O$43&lt;=TopeEfectividad)*'Matriz de cuantificación'!$O$8:$O$43))+SUMPRODUCT(--('Matriz de cuantificación'!$K$8:$K$43&lt;&gt;""),--ISNUMBER('Matriz de cuantificación'!$G$8:$G$43),--ISNUMBER('Matriz de cuantificación'!$J$8:$J$43),COUNTIF(ListaMetodos,'Matriz de cuantificación'!$F$8:$F$43),COUNTIFS(ListaMetodos,'Matriz de cuantificación'!$F$8:$F$43,MetOperacion,"+"),'Matriz de cuantificación'!$J$8:$J$43,1-('Matriz de cuantificación'!$M$8:$M$43&lt;&gt;"")*(('Matriz de cuantificación'!$O$8:$O$43&gt;TopeEfectividad)*TopeEfectividad+('Matriz de cuantificación'!$O$8:$O$43&lt;=TopeEfectividad)*'Matriz de cuantificación'!$O$8:$O$43))</f>
        <v>47051680</v>
      </c>
      <c r="H12" s="23">
        <f>IF(E12=0,"n. d.",(E12-G12)/E12)</f>
        <v>0.25716044919269404</v>
      </c>
      <c r="I12" s="23">
        <f>IF(EBITDA=0,"n. d.",E12/EBITDA)</f>
        <v>5.2783583333333333</v>
      </c>
    </row>
    <row r="14" spans="1:10" ht="15.75" customHeight="1" x14ac:dyDescent="0.25">
      <c r="B14" s="36" t="s">
        <v>414</v>
      </c>
      <c r="C14" s="37"/>
      <c r="D14" s="37"/>
      <c r="E14" s="37"/>
      <c r="F14" s="37"/>
      <c r="G14" s="37"/>
      <c r="H14" s="37"/>
      <c r="I14" s="37"/>
    </row>
    <row r="15" spans="1:10" ht="63" customHeight="1" x14ac:dyDescent="0.25">
      <c r="B15" s="2" t="s">
        <v>415</v>
      </c>
      <c r="C15" s="19" t="s">
        <v>377</v>
      </c>
      <c r="D15" s="46" t="str">
        <f>IFERROR(IF(INDEX('Matriz de cuantificación'!$C$8:$C$43,MATCH($C$15,'Matriz de cuantificación'!$A$8:$A$43,0))="","Ese ID no tiene un riesgo registrado.",INDEX('Matriz de cuantificación'!$C$8:$C$43,MATCH($C$15,'Matriz de cuantificación'!$A$8:$A$43,0))),"Seleccione un ID de la matriz.")</f>
        <v>Debido al incremento sostenido de la temperatura, los cuartos fríos tendrían que operar más horas, lo que aumentaría el consumo y el costo de la energía.</v>
      </c>
      <c r="E15" s="65"/>
      <c r="F15" s="65"/>
      <c r="G15" s="65"/>
      <c r="H15" s="65"/>
      <c r="I15" s="65"/>
    </row>
    <row r="16" spans="1:10" ht="47.25" customHeight="1" x14ac:dyDescent="0.25">
      <c r="B16" s="2" t="s">
        <v>88</v>
      </c>
      <c r="C16" s="2" t="s">
        <v>416</v>
      </c>
      <c r="D16" s="2" t="s">
        <v>408</v>
      </c>
      <c r="E16" s="2" t="s">
        <v>409</v>
      </c>
      <c r="F16" s="2" t="s">
        <v>410</v>
      </c>
      <c r="G16" s="2" t="s">
        <v>411</v>
      </c>
      <c r="H16" s="43" t="s">
        <v>267</v>
      </c>
      <c r="I16" s="44"/>
    </row>
    <row r="17" spans="2:9" ht="24" customHeight="1" x14ac:dyDescent="0.25">
      <c r="B17" s="3" t="str">
        <f>Parámetros!$B$38</f>
        <v>Base</v>
      </c>
      <c r="C17" s="17">
        <f>IFERROR(IF(ISNUMBER(INDEX('Matriz de cuantificación'!$H$8:$H$43,MATCH($C$15,'Matriz de cuantificación'!$A$8:$A$43,0))),INDEX('Matriz de cuantificación'!$H$8:$H$43,MATCH($C$15,'Matriz de cuantificación'!$A$8:$A$43,0)),"Pendiente"),"")</f>
        <v>0.03</v>
      </c>
      <c r="D17" s="21">
        <f>IF(ISNUMBER(E17),E17*(1-IFERROR(INDEX(MargenConfianza,MATCH(INDEX('Matriz de cuantificación'!$Q$8:$Q$43,MATCH($C$15,'Matriz de cuantificación'!$A$8:$A$43,0)),ListaConfianza,0)),MAX(MargenConfianza))),E17)</f>
        <v>183600</v>
      </c>
      <c r="E17" s="9">
        <f>IFERROR(IF(INDEX('Matriz de cuantificación'!$C$8:$C$43,MATCH($C$15,'Matriz de cuantificación'!$A$8:$A$43,0))="","",IFERROR(IF(AND(ISNUMBER(INDEX('Matriz de cuantificación'!$G$8:$G$43,MATCH($C$15,'Matriz de cuantificación'!$A$8:$A$43,0))),ISNUMBER(INDEX('Matriz de cuantificación'!$H$8:$H$43,MATCH($C$15,'Matriz de cuantificación'!$A$8:$A$43,0))),INDEX('Matriz de cuantificación'!$K$8:$K$43,MATCH($C$15,'Matriz de cuantificación'!$A$8:$A$43,0))&lt;&gt;""),IF(INDEX(MetOperacion,MATCH(INDEX('Matriz de cuantificación'!$F$8:$F$43,MATCH($C$15,'Matriz de cuantificación'!$A$8:$A$43,0)),ListaMetodos,0))="+",INDEX('Matriz de cuantificación'!$G$8:$G$43,MATCH($C$15,'Matriz de cuantificación'!$A$8:$A$43,0))+INDEX('Matriz de cuantificación'!$H$8:$H$43,MATCH($C$15,'Matriz de cuantificación'!$A$8:$A$43,0)),INDEX('Matriz de cuantificación'!$G$8:$G$43,MATCH($C$15,'Matriz de cuantificación'!$A$8:$A$43,0))*INDEX('Matriz de cuantificación'!$H$8:$H$43,MATCH($C$15,'Matriz de cuantificación'!$A$8:$A$43,0))),"Pendiente"),"Pendiente")),"")</f>
        <v>204000</v>
      </c>
      <c r="F17" s="21">
        <f>IF(ISNUMBER(E17),E17*(1+IFERROR(INDEX(MargenConfianza,MATCH(INDEX('Matriz de cuantificación'!$Q$8:$Q$43,MATCH($C$15,'Matriz de cuantificación'!$A$8:$A$43,0)),ListaConfianza,0)),MAX(MargenConfianza))),E17)</f>
        <v>224400.00000000003</v>
      </c>
      <c r="G17" s="9">
        <f>IF(ISNUMBER(E17),E17*(1-IF(AND(INDEX('Matriz de cuantificación'!$M$8:$M$43,MATCH($C$15,'Matriz de cuantificación'!$A$8:$A$43,0))&lt;&gt;"",ISNUMBER(INDEX('Matriz de cuantificación'!$O$8:$O$43,MATCH($C$15,'Matriz de cuantificación'!$A$8:$A$43,0)))),MIN(INDEX('Matriz de cuantificación'!$O$8:$O$43,MATCH($C$15,'Matriz de cuantificación'!$A$8:$A$43,0)),TopeEfectividad),0)),E17)</f>
        <v>163200</v>
      </c>
      <c r="H17" s="47" t="str">
        <f>IF(ISNUMBER(G17),IF(G17&gt;=UmbralCritico,Nivel_Riesgo_4,IF(G17&gt;=UmbralSignificativo,Nivel_Riesgo_3,IF(G17&gt;=UmbralModerado,Nivel_Riesgo_2,Nivel_Riesgo_1))),G17)</f>
        <v>Moderado</v>
      </c>
      <c r="I17" s="40"/>
    </row>
    <row r="18" spans="2:9" ht="24" customHeight="1" x14ac:dyDescent="0.25">
      <c r="B18" s="3" t="str">
        <f>Parámetros!$B$39</f>
        <v>Moderado</v>
      </c>
      <c r="C18" s="17">
        <f>IFERROR(IF(ISNUMBER(INDEX('Matriz de cuantificación'!$I$8:$I$43,MATCH($C$15,'Matriz de cuantificación'!$A$8:$A$43,0))),INDEX('Matriz de cuantificación'!$I$8:$I$43,MATCH($C$15,'Matriz de cuantificación'!$A$8:$A$43,0)),"Pendiente"),"")</f>
        <v>7.0000000000000007E-2</v>
      </c>
      <c r="D18" s="21">
        <f>IF(ISNUMBER(E18),E18*(1-IFERROR(INDEX(MargenConfianza,MATCH(INDEX('Matriz de cuantificación'!$Q$8:$Q$43,MATCH($C$15,'Matriz de cuantificación'!$A$8:$A$43,0)),ListaConfianza,0)),MAX(MargenConfianza))),E18)</f>
        <v>428400.00000000006</v>
      </c>
      <c r="E18" s="9">
        <f>IFERROR(IF(INDEX('Matriz de cuantificación'!$C$8:$C$43,MATCH($C$15,'Matriz de cuantificación'!$A$8:$A$43,0))="","",IFERROR(IF(AND(ISNUMBER(INDEX('Matriz de cuantificación'!$G$8:$G$43,MATCH($C$15,'Matriz de cuantificación'!$A$8:$A$43,0))),ISNUMBER(INDEX('Matriz de cuantificación'!$I$8:$I$43,MATCH($C$15,'Matriz de cuantificación'!$A$8:$A$43,0))),INDEX('Matriz de cuantificación'!$K$8:$K$43,MATCH($C$15,'Matriz de cuantificación'!$A$8:$A$43,0))&lt;&gt;""),IF(INDEX(MetOperacion,MATCH(INDEX('Matriz de cuantificación'!$F$8:$F$43,MATCH($C$15,'Matriz de cuantificación'!$A$8:$A$43,0)),ListaMetodos,0))="+",INDEX('Matriz de cuantificación'!$G$8:$G$43,MATCH($C$15,'Matriz de cuantificación'!$A$8:$A$43,0))+INDEX('Matriz de cuantificación'!$I$8:$I$43,MATCH($C$15,'Matriz de cuantificación'!$A$8:$A$43,0)),INDEX('Matriz de cuantificación'!$G$8:$G$43,MATCH($C$15,'Matriz de cuantificación'!$A$8:$A$43,0))*INDEX('Matriz de cuantificación'!$I$8:$I$43,MATCH($C$15,'Matriz de cuantificación'!$A$8:$A$43,0))),"Pendiente"),"Pendiente")),"")</f>
        <v>476000.00000000006</v>
      </c>
      <c r="F18" s="21">
        <f>IF(ISNUMBER(E18),E18*(1+IFERROR(INDEX(MargenConfianza,MATCH(INDEX('Matriz de cuantificación'!$Q$8:$Q$43,MATCH($C$15,'Matriz de cuantificación'!$A$8:$A$43,0)),ListaConfianza,0)),MAX(MargenConfianza))),E18)</f>
        <v>523600.00000000012</v>
      </c>
      <c r="G18" s="9">
        <f>IF(ISNUMBER(E18),E18*(1-IF(AND(INDEX('Matriz de cuantificación'!$M$8:$M$43,MATCH($C$15,'Matriz de cuantificación'!$A$8:$A$43,0))&lt;&gt;"",ISNUMBER(INDEX('Matriz de cuantificación'!$O$8:$O$43,MATCH($C$15,'Matriz de cuantificación'!$A$8:$A$43,0)))),MIN(INDEX('Matriz de cuantificación'!$O$8:$O$43,MATCH($C$15,'Matriz de cuantificación'!$A$8:$A$43,0)),TopeEfectividad),0)),E18)</f>
        <v>380800.00000000006</v>
      </c>
      <c r="H18" s="47" t="str">
        <f>IF(ISNUMBER(G18),IF(G18&gt;=UmbralCritico,Nivel_Riesgo_4,IF(G18&gt;=UmbralSignificativo,Nivel_Riesgo_3,IF(G18&gt;=UmbralModerado,Nivel_Riesgo_2,Nivel_Riesgo_1))),G18)</f>
        <v>Moderado</v>
      </c>
      <c r="I18" s="40"/>
    </row>
    <row r="19" spans="2:9" ht="24" customHeight="1" x14ac:dyDescent="0.25">
      <c r="B19" s="3" t="str">
        <f>Parámetros!$B$40</f>
        <v>Severo</v>
      </c>
      <c r="C19" s="17">
        <f>IFERROR(IF(ISNUMBER(INDEX('Matriz de cuantificación'!$J$8:$J$43,MATCH($C$15,'Matriz de cuantificación'!$A$8:$A$43,0))),INDEX('Matriz de cuantificación'!$J$8:$J$43,MATCH($C$15,'Matriz de cuantificación'!$A$8:$A$43,0)),"Pendiente"),"")</f>
        <v>0.14000000000000001</v>
      </c>
      <c r="D19" s="21">
        <f>IF(ISNUMBER(E19),E19*(1-IFERROR(INDEX(MargenConfianza,MATCH(INDEX('Matriz de cuantificación'!$Q$8:$Q$43,MATCH($C$15,'Matriz de cuantificación'!$A$8:$A$43,0)),ListaConfianza,0)),MAX(MargenConfianza))),E19)</f>
        <v>856800.00000000012</v>
      </c>
      <c r="E19" s="9">
        <f>IFERROR(IF(INDEX('Matriz de cuantificación'!$C$8:$C$43,MATCH($C$15,'Matriz de cuantificación'!$A$8:$A$43,0))="","",IFERROR(IF(AND(ISNUMBER(INDEX('Matriz de cuantificación'!$G$8:$G$43,MATCH($C$15,'Matriz de cuantificación'!$A$8:$A$43,0))),ISNUMBER(INDEX('Matriz de cuantificación'!$J$8:$J$43,MATCH($C$15,'Matriz de cuantificación'!$A$8:$A$43,0))),INDEX('Matriz de cuantificación'!$K$8:$K$43,MATCH($C$15,'Matriz de cuantificación'!$A$8:$A$43,0))&lt;&gt;""),IF(INDEX(MetOperacion,MATCH(INDEX('Matriz de cuantificación'!$F$8:$F$43,MATCH($C$15,'Matriz de cuantificación'!$A$8:$A$43,0)),ListaMetodos,0))="+",INDEX('Matriz de cuantificación'!$G$8:$G$43,MATCH($C$15,'Matriz de cuantificación'!$A$8:$A$43,0))+INDEX('Matriz de cuantificación'!$J$8:$J$43,MATCH($C$15,'Matriz de cuantificación'!$A$8:$A$43,0)),INDEX('Matriz de cuantificación'!$G$8:$G$43,MATCH($C$15,'Matriz de cuantificación'!$A$8:$A$43,0))*INDEX('Matriz de cuantificación'!$J$8:$J$43,MATCH($C$15,'Matriz de cuantificación'!$A$8:$A$43,0))),"Pendiente"),"Pendiente")),"")</f>
        <v>952000.00000000012</v>
      </c>
      <c r="F19" s="21">
        <f>IF(ISNUMBER(E19),E19*(1+IFERROR(INDEX(MargenConfianza,MATCH(INDEX('Matriz de cuantificación'!$Q$8:$Q$43,MATCH($C$15,'Matriz de cuantificación'!$A$8:$A$43,0)),ListaConfianza,0)),MAX(MargenConfianza))),E19)</f>
        <v>1047200.0000000002</v>
      </c>
      <c r="G19" s="9">
        <f>IF(ISNUMBER(E19),E19*(1-IF(AND(INDEX('Matriz de cuantificación'!$M$8:$M$43,MATCH($C$15,'Matriz de cuantificación'!$A$8:$A$43,0))&lt;&gt;"",ISNUMBER(INDEX('Matriz de cuantificación'!$O$8:$O$43,MATCH($C$15,'Matriz de cuantificación'!$A$8:$A$43,0)))),MIN(INDEX('Matriz de cuantificación'!$O$8:$O$43,MATCH($C$15,'Matriz de cuantificación'!$A$8:$A$43,0)),TopeEfectividad),0)),E19)</f>
        <v>761600.00000000012</v>
      </c>
      <c r="H19" s="47" t="str">
        <f>IF(ISNUMBER(G19),IF(G19&gt;=UmbralCritico,Nivel_Riesgo_4,IF(G19&gt;=UmbralSignificativo,Nivel_Riesgo_3,IF(G19&gt;=UmbralModerado,Nivel_Riesgo_2,Nivel_Riesgo_1))),G19)</f>
        <v>Significativo</v>
      </c>
      <c r="I19" s="40"/>
    </row>
    <row r="20" spans="2:9" ht="66" customHeight="1" x14ac:dyDescent="0.25">
      <c r="B20" s="70" t="str">
        <f>IFERROR(IF(INDEX('Matriz de cuantificación'!$C$8:$C$43,MATCH($C$15,'Matriz de cuantificación'!$A$8:$A$43,0))="","Seleccione un riesgo registrado en la matriz.",IF(NOT(ISNUMBER(INDEX($E$17:$E$19,MATCH(EscenarioAnalisis,ListaEscenarios,0)))),"La estimación de "&amp;$C$15&amp;" en el escenario "&amp;EscenarioAnalisis&amp;" está pendiente ("&amp;LOWER(INDEX('Matriz de cuantificación'!$V$8:$V$43,MATCH($C$15,'Matriz de cuantificación'!$A$8:$A$43,0)))&amp;"). Se muestra como pendiente, no como cero.","En el escenario "&amp;EscenarioAnalisis&amp;" ("&amp;LOWER(INDEX('Matriz de cuantificación'!$E$8:$E$43,MATCH($C$15,'Matriz de cuantificación'!$A$8:$A$43,0)))&amp;"), con un supuesto de "&amp;IF(IFERROR(INDEX(MetUnidadSupuesto,MATCH(INDEX('Matriz de cuantificación'!$F$8:$F$43,MATCH($C$15,'Matriz de cuantificación'!$A$8:$A$43,0)),ListaMetodos,0)),"")="%",FIXED(INDEX($C$17:$C$19,MATCH(EscenarioAnalisis,ListaEscenarios,0))*100,1)&amp;" %",FIXED(INDEX($C$17:$C$19,MATCH(EscenarioAnalisis,ListaEscenarios,0)),0)&amp;" "&amp;SUBSTITUTE(IFERROR(INDEX(MetUnidadSupuesto,MATCH(INDEX('Matriz de cuantificación'!$F$8:$F$43,MATCH($C$15,'Matriz de cuantificación'!$A$8:$A$43,0)),ListaMetodos,0)),""),"moneda",Moneda))&amp;", el riesgo "&amp;$C$15&amp;" generaría una pérdida estimada de "&amp;Moneda&amp;" "&amp;FIXED(INDEX($D$17:$D$19,MATCH(EscenarioAnalisis,ListaEscenarios,0))/Divisor,2)&amp;" a "&amp;FIXED(INDEX($F$17:$F$19,MATCH(EscenarioAnalisis,ListaEscenarios,0))/Divisor,2)&amp;" "&amp;UnidadResumen&amp;" (valor central: "&amp;FIXED(INDEX($E$17:$E$19,MATCH(EscenarioAnalisis,ListaEscenarios,0))/Divisor,2)&amp;"); "&amp;IF(INDEX('Matriz de cuantificación'!$M$8:$M$43,MATCH($C$15,'Matriz de cuantificación'!$A$8:$A$43,0))="","no hay medidas registradas, por lo que la exposición residual es igual a la bruta","las medidas actuales reducirían la exposición a "&amp;Moneda&amp;" "&amp;FIXED(INDEX($G$17:$G$19,MATCH(EscenarioAnalisis,ListaEscenarios,0))/Divisor,2)&amp;" "&amp;UnidadResumen)&amp;". "&amp;IF(INDEX('Matriz de cuantificación'!$Q$8:$Q$43,MATCH($C$15,'Matriz de cuantificación'!$A$8:$A$43,0))="","El nivel de confianza no se ha definido.","La confianza de la estimación es "&amp;LOWER(INDEX('Matriz de cuantificación'!$Q$8:$Q$43,MATCH($C$15,'Matriz de cuantificación'!$A$8:$A$43,0)))&amp;"."))),"Seleccione un ID de la matriz.")</f>
        <v>En el escenario Moderado (mediano plazo), con un supuesto de 7,0 %, el riesgo RC-08 generaría una pérdida estimada de USD 428,40 a 523,60 miles (valor central: 476,00); las medidas actuales reducirían la exposición a USD 380,80 miles. La confianza de la estimación es alta.</v>
      </c>
      <c r="C20" s="71"/>
      <c r="D20" s="71"/>
      <c r="E20" s="71"/>
      <c r="F20" s="71"/>
      <c r="G20" s="71"/>
      <c r="H20" s="71"/>
      <c r="I20" s="71"/>
    </row>
    <row r="22" spans="2:9" ht="15.75" customHeight="1" x14ac:dyDescent="0.25">
      <c r="B22" s="36" t="s">
        <v>417</v>
      </c>
      <c r="C22" s="37"/>
      <c r="D22" s="37"/>
      <c r="E22" s="37"/>
      <c r="F22" s="37"/>
      <c r="G22" s="37"/>
      <c r="H22" s="37"/>
      <c r="I22" s="37"/>
    </row>
    <row r="23" spans="2:9" ht="32.25" customHeight="1" x14ac:dyDescent="0.25">
      <c r="B23" s="46" t="s">
        <v>418</v>
      </c>
      <c r="C23" s="40"/>
      <c r="D23" s="40"/>
      <c r="E23" s="40"/>
      <c r="F23" s="40"/>
      <c r="G23" s="40"/>
      <c r="H23" s="40"/>
      <c r="I23" s="40"/>
    </row>
    <row r="24" spans="2:9" ht="47.25" customHeight="1" x14ac:dyDescent="0.25">
      <c r="B24" s="2" t="s">
        <v>419</v>
      </c>
      <c r="C24" s="43" t="s">
        <v>420</v>
      </c>
      <c r="D24" s="44"/>
      <c r="E24" s="2" t="s">
        <v>421</v>
      </c>
      <c r="F24" s="2" t="s">
        <v>422</v>
      </c>
      <c r="G24" s="2" t="s">
        <v>423</v>
      </c>
      <c r="H24" s="2" t="s">
        <v>424</v>
      </c>
      <c r="I24" s="2" t="s">
        <v>425</v>
      </c>
    </row>
    <row r="25" spans="2:9" ht="25.5" customHeight="1" x14ac:dyDescent="0.25">
      <c r="B25" s="3" t="s">
        <v>426</v>
      </c>
      <c r="C25" s="46" t="s">
        <v>115</v>
      </c>
      <c r="D25" s="40"/>
      <c r="E25" s="21">
        <f>SUMIFS('Matriz de cuantificación'!$L$8:$L$43,'Matriz de cuantificación'!$F$8:$F$43,$C25)</f>
        <v>5320000</v>
      </c>
      <c r="F25" s="27">
        <v>0.25</v>
      </c>
      <c r="G25" s="22">
        <f t="shared" ref="G25:G33" si="0">E25+H25</f>
        <v>6650000</v>
      </c>
      <c r="H25" s="28">
        <f t="shared" ref="H25:H33" si="1">E25*F25</f>
        <v>1330000</v>
      </c>
      <c r="I25" s="23">
        <f t="shared" ref="I25:I33" si="2">IF(SUMPRODUCT(ABS($H$25:$H$33))=0,0,ABS(H25)/SUMPRODUCT(ABS($H$25:$H$33)))</f>
        <v>0.22396605146167317</v>
      </c>
    </row>
    <row r="26" spans="2:9" ht="25.5" customHeight="1" x14ac:dyDescent="0.25">
      <c r="B26" s="3" t="s">
        <v>427</v>
      </c>
      <c r="C26" s="46" t="s">
        <v>122</v>
      </c>
      <c r="D26" s="40"/>
      <c r="E26" s="21">
        <f>SUMIFS('Matriz de cuantificación'!$L$8:$L$43,'Matriz de cuantificación'!$F$8:$F$43,$C26)</f>
        <v>5891000</v>
      </c>
      <c r="F26" s="27">
        <v>0.2</v>
      </c>
      <c r="G26" s="22">
        <f t="shared" si="0"/>
        <v>7069200</v>
      </c>
      <c r="H26" s="28">
        <f t="shared" si="1"/>
        <v>1178200</v>
      </c>
      <c r="I26" s="23">
        <f t="shared" si="2"/>
        <v>0.19840361040010776</v>
      </c>
    </row>
    <row r="27" spans="2:9" ht="25.5" customHeight="1" x14ac:dyDescent="0.25">
      <c r="B27" s="3" t="s">
        <v>428</v>
      </c>
      <c r="C27" s="46" t="s">
        <v>126</v>
      </c>
      <c r="D27" s="40"/>
      <c r="E27" s="21">
        <f>SUMIFS('Matriz de cuantificación'!$L$8:$L$43,'Matriz de cuantificación'!$F$8:$F$43,$C27)</f>
        <v>2280000</v>
      </c>
      <c r="F27" s="27">
        <v>0.2</v>
      </c>
      <c r="G27" s="22">
        <f t="shared" si="0"/>
        <v>2736000</v>
      </c>
      <c r="H27" s="28">
        <f t="shared" si="1"/>
        <v>456000</v>
      </c>
      <c r="I27" s="23">
        <f t="shared" si="2"/>
        <v>7.6788360501145084E-2</v>
      </c>
    </row>
    <row r="28" spans="2:9" ht="25.5" customHeight="1" x14ac:dyDescent="0.25">
      <c r="B28" s="3" t="s">
        <v>429</v>
      </c>
      <c r="C28" s="46" t="s">
        <v>130</v>
      </c>
      <c r="D28" s="40"/>
      <c r="E28" s="21">
        <f>SUMIFS('Matriz de cuantificación'!$L$8:$L$43,'Matriz de cuantificación'!$F$8:$F$43,$C28)</f>
        <v>1626000</v>
      </c>
      <c r="F28" s="27">
        <v>0.2</v>
      </c>
      <c r="G28" s="22">
        <f t="shared" si="0"/>
        <v>1951200</v>
      </c>
      <c r="H28" s="28">
        <f t="shared" si="1"/>
        <v>325200</v>
      </c>
      <c r="I28" s="23">
        <f t="shared" si="2"/>
        <v>5.4762225515290315E-2</v>
      </c>
    </row>
    <row r="29" spans="2:9" ht="36" customHeight="1" x14ac:dyDescent="0.25">
      <c r="B29" s="3" t="s">
        <v>430</v>
      </c>
      <c r="C29" s="46" t="s">
        <v>136</v>
      </c>
      <c r="D29" s="40"/>
      <c r="E29" s="21">
        <f>SUMIFS('Matriz de cuantificación'!$L$8:$L$43,'Matriz de cuantificación'!$F$8:$F$43,$C29)</f>
        <v>5560000</v>
      </c>
      <c r="F29" s="27">
        <v>0.2</v>
      </c>
      <c r="G29" s="22">
        <f t="shared" si="0"/>
        <v>6672000</v>
      </c>
      <c r="H29" s="28">
        <f t="shared" si="1"/>
        <v>1112000</v>
      </c>
      <c r="I29" s="23">
        <f t="shared" si="2"/>
        <v>0.18725582648524855</v>
      </c>
    </row>
    <row r="30" spans="2:9" ht="25.5" customHeight="1" x14ac:dyDescent="0.25">
      <c r="B30" s="3" t="s">
        <v>431</v>
      </c>
      <c r="C30" s="46" t="s">
        <v>139</v>
      </c>
      <c r="D30" s="40"/>
      <c r="E30" s="21">
        <f>SUMIFS('Matriz de cuantificación'!$L$8:$L$43,'Matriz de cuantificación'!$F$8:$F$43,$C30)</f>
        <v>1700000</v>
      </c>
      <c r="F30" s="27">
        <v>0.2</v>
      </c>
      <c r="G30" s="22">
        <f t="shared" si="0"/>
        <v>2040000</v>
      </c>
      <c r="H30" s="28">
        <f t="shared" si="1"/>
        <v>340000</v>
      </c>
      <c r="I30" s="23">
        <f t="shared" si="2"/>
        <v>5.7254479321029235E-2</v>
      </c>
    </row>
    <row r="31" spans="2:9" ht="30" customHeight="1" x14ac:dyDescent="0.25">
      <c r="B31" s="3" t="s">
        <v>432</v>
      </c>
      <c r="C31" s="46" t="s">
        <v>143</v>
      </c>
      <c r="D31" s="40"/>
      <c r="E31" s="21">
        <f>SUMIFS('Matriz de cuantificación'!$L$8:$L$43,'Matriz de cuantificación'!$F$8:$F$43,$C31)</f>
        <v>5350000</v>
      </c>
      <c r="F31" s="27">
        <v>0.2</v>
      </c>
      <c r="G31" s="22">
        <f t="shared" si="0"/>
        <v>6420000</v>
      </c>
      <c r="H31" s="28">
        <f t="shared" si="1"/>
        <v>1070000</v>
      </c>
      <c r="I31" s="23">
        <f t="shared" si="2"/>
        <v>0.18018321433382731</v>
      </c>
    </row>
    <row r="32" spans="2:9" ht="37.5" customHeight="1" x14ac:dyDescent="0.25">
      <c r="B32" s="3" t="s">
        <v>433</v>
      </c>
      <c r="C32" s="46" t="s">
        <v>148</v>
      </c>
      <c r="D32" s="40"/>
      <c r="E32" s="21">
        <f>SUMIFS('Matriz de cuantificación'!$L$8:$L$43,'Matriz de cuantificación'!$F$8:$F$43,$C32)</f>
        <v>275000</v>
      </c>
      <c r="F32" s="27">
        <v>0.2</v>
      </c>
      <c r="G32" s="22">
        <f t="shared" si="0"/>
        <v>330000</v>
      </c>
      <c r="H32" s="28">
        <f t="shared" si="1"/>
        <v>55000</v>
      </c>
      <c r="I32" s="23">
        <f t="shared" si="2"/>
        <v>9.2617540078135524E-3</v>
      </c>
    </row>
    <row r="33" spans="2:9" ht="36" customHeight="1" x14ac:dyDescent="0.25">
      <c r="B33" s="3" t="s">
        <v>434</v>
      </c>
      <c r="C33" s="46" t="s">
        <v>152</v>
      </c>
      <c r="D33" s="40"/>
      <c r="E33" s="21">
        <f>SUMIFS('Matriz de cuantificación'!$L$8:$L$43,'Matriz de cuantificación'!$F$8:$F$43,$C33)</f>
        <v>360000</v>
      </c>
      <c r="F33" s="27">
        <v>0.2</v>
      </c>
      <c r="G33" s="22">
        <f t="shared" si="0"/>
        <v>432000</v>
      </c>
      <c r="H33" s="28">
        <f t="shared" si="1"/>
        <v>72000</v>
      </c>
      <c r="I33" s="23">
        <f t="shared" si="2"/>
        <v>1.2124477973865014E-2</v>
      </c>
    </row>
    <row r="34" spans="2:9" ht="24" customHeight="1" x14ac:dyDescent="0.25">
      <c r="B34" s="2" t="s">
        <v>435</v>
      </c>
      <c r="C34" s="50"/>
      <c r="D34" s="44"/>
      <c r="E34" s="30">
        <f>SUM(E25:E33)</f>
        <v>28362000</v>
      </c>
      <c r="F34" s="29"/>
      <c r="G34" s="30">
        <f>SUM(G25:G33)</f>
        <v>34300400</v>
      </c>
      <c r="H34" s="31">
        <f>SUM(H25:H33)</f>
        <v>5938400</v>
      </c>
      <c r="I34" s="32">
        <f>IF(E34=0,"n. d.",H34/E34)</f>
        <v>0.20937874620971722</v>
      </c>
    </row>
    <row r="35" spans="2:9" ht="24" customHeight="1" x14ac:dyDescent="0.25">
      <c r="B35" s="3" t="s">
        <v>436</v>
      </c>
      <c r="C35" s="46" t="s">
        <v>437</v>
      </c>
      <c r="D35" s="40"/>
      <c r="E35" s="21">
        <f>SUM('Matriz de cuantificación'!$P$8:$P$43)</f>
        <v>21405600</v>
      </c>
      <c r="F35" s="27">
        <v>0.2</v>
      </c>
      <c r="G35" s="22">
        <f>SUM('Matriz de cuantificación'!$L$8:$L$43)-MIN(SUM('Matriz de cuantificación'!$L$8:$L$43),(SUM('Matriz de cuantificación'!$L$8:$L$43)-E35)*(1+F35))</f>
        <v>20014320</v>
      </c>
      <c r="H35" s="28">
        <f>G35-E35</f>
        <v>-1391280</v>
      </c>
      <c r="I35" s="17" t="s">
        <v>438</v>
      </c>
    </row>
    <row r="36" spans="2:9" ht="36" customHeight="1" x14ac:dyDescent="0.25">
      <c r="B36" s="70" t="str">
        <f>IF(SUMPRODUCT(ABS($H$25:$H$33))=0,"No hay variación simulada.","Con las variaciones simuladas, la variable que más explica el cambio del impacto bruto en el escenario "&amp;EscenarioAnalisis&amp;" es «"&amp;INDEX($B$25:$B$33,MATCH(MAX($I$25:$I$33),$I$25:$I$33,0))&amp;"»: aporta el "&amp;FIXED(MAX($I$25:$I$33)*100,0)&amp;" % de la variación total.")</f>
        <v>Con las variaciones simuladas, la variable que más explica el cambio del impacto bruto en el escenario Moderado es «% de reducción de ingresos»: aporta el 22 % de la variación total.</v>
      </c>
      <c r="C36" s="71"/>
      <c r="D36" s="71"/>
      <c r="E36" s="71"/>
      <c r="F36" s="71"/>
      <c r="G36" s="71"/>
      <c r="H36" s="71"/>
      <c r="I36" s="71"/>
    </row>
  </sheetData>
  <mergeCells count="26">
    <mergeCell ref="B36:I36"/>
    <mergeCell ref="A1:J4"/>
    <mergeCell ref="C35:D35"/>
    <mergeCell ref="C29:D29"/>
    <mergeCell ref="C25:D25"/>
    <mergeCell ref="B14:I14"/>
    <mergeCell ref="B23:I23"/>
    <mergeCell ref="C31:D31"/>
    <mergeCell ref="B8:I8"/>
    <mergeCell ref="H17:I17"/>
    <mergeCell ref="D15:I15"/>
    <mergeCell ref="H16:I16"/>
    <mergeCell ref="C27:D27"/>
    <mergeCell ref="H19:I19"/>
    <mergeCell ref="C32:D32"/>
    <mergeCell ref="B20:I20"/>
    <mergeCell ref="H18:I18"/>
    <mergeCell ref="C34:D34"/>
    <mergeCell ref="A5:J5"/>
    <mergeCell ref="C24:D24"/>
    <mergeCell ref="C30:D30"/>
    <mergeCell ref="B7:I7"/>
    <mergeCell ref="C33:D33"/>
    <mergeCell ref="B22:I22"/>
    <mergeCell ref="C26:D26"/>
    <mergeCell ref="C28:D28"/>
  </mergeCells>
  <conditionalFormatting sqref="B10:I12">
    <cfRule type="expression" dxfId="9" priority="1">
      <formula>$B10=EscenarioAnalisis</formula>
    </cfRule>
  </conditionalFormatting>
  <conditionalFormatting sqref="B17:I19">
    <cfRule type="expression" dxfId="8" priority="2">
      <formula>$B17=EscenarioAnalisis</formula>
    </cfRule>
  </conditionalFormatting>
  <conditionalFormatting sqref="H17:I19">
    <cfRule type="expression" dxfId="6" priority="4">
      <formula>$H17=Nivel_Riesgo_4</formula>
    </cfRule>
    <cfRule type="expression" dxfId="5" priority="5">
      <formula>$H17=Nivel_Riesgo_3</formula>
    </cfRule>
    <cfRule type="expression" dxfId="4" priority="6">
      <formula>$H17=Nivel_Riesgo_2</formula>
    </cfRule>
    <cfRule type="expression" dxfId="3" priority="7">
      <formula>$H17=Nivel_Riesgo_1</formula>
    </cfRule>
    <cfRule type="expression" dxfId="2" priority="8">
      <formula>$H17="Pendiente"</formula>
    </cfRule>
  </conditionalFormatting>
  <dataValidations count="2">
    <dataValidation type="list" allowBlank="1" showInputMessage="1" showErrorMessage="1" errorTitle="Valor no permitido" error="Seleccione un valor de la lista definida en Parámetros." promptTitle="Riesgo a leer" prompt="Seleccione el ID del riesgo de la matriz que quiere traducir a una lectura para la dirección." sqref="C15" xr:uid="{00000000-0002-0000-0400-000000000000}">
      <formula1>ListaIDs</formula1>
    </dataValidation>
    <dataValidation type="decimal" allowBlank="1" showInputMessage="1" showErrorMessage="1" errorTitle="Valor no permitido" error="Ingrese un porcentaje entre -100 % y 500 %." promptTitle="Variación a simular" prompt="Cambio porcentual que quiere probar en esa variable para todos los riesgos del escenario de análisis (p. ej., 20 % o -15 %)." sqref="F25:F35" xr:uid="{00000000-0002-0000-0400-000001000000}">
      <formula1>-1</formula1>
      <formula2>5</formula2>
    </dataValidation>
  </dataValidations>
  <pageMargins left="0.4" right="0.4" top="0.5" bottom="0.5" header="0.5" footer="0.5"/>
  <pageSetup paperSize="9" fitToHeight="0" orientation="portrait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00000000-000E-0000-0400-000003000000}">
            <xm:f>IFERROR(INDEX(MetUnidadSupuesto,MATCH(INDEX('Matriz de cuantificación'!$F$8:$F$43,MATCH($C$15,'Matriz de cuantificación'!$A$8:$A$43,0)),ListaMetodos,0)),"")="%"</xm:f>
            <x14:dxf>
              <numFmt numFmtId="166" formatCode="0.0%"/>
            </x14:dxf>
          </x14:cfRule>
          <xm:sqref>C17:C19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02"/>
  <sheetViews>
    <sheetView showGridLines="0" workbookViewId="0">
      <selection activeCell="E21" sqref="E21"/>
    </sheetView>
  </sheetViews>
  <sheetFormatPr baseColWidth="10" defaultColWidth="0" defaultRowHeight="15" x14ac:dyDescent="0.25"/>
  <cols>
    <col min="1" max="1" width="3" customWidth="1"/>
    <col min="2" max="2" width="32" customWidth="1"/>
    <col min="3" max="6" width="17" customWidth="1"/>
    <col min="7" max="7" width="6" customWidth="1"/>
    <col min="8" max="8" width="34" customWidth="1"/>
    <col min="9" max="10" width="20" customWidth="1"/>
    <col min="11" max="11" width="3" customWidth="1"/>
    <col min="12" max="16384" width="9.140625" hidden="1"/>
  </cols>
  <sheetData>
    <row r="1" spans="1:11" ht="15" customHeight="1" x14ac:dyDescent="0.25">
      <c r="A1" s="41" t="s">
        <v>439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5" customHeigh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15" customHeight="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3" customHeight="1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</row>
    <row r="7" spans="1:11" ht="15.75" customHeight="1" x14ac:dyDescent="0.25">
      <c r="B7" s="36" t="str">
        <f>"Resumen ejecutivo – "&amp;Organizacion&amp;" – escenario de análisis: "&amp;EscenarioAnalisis</f>
        <v>Resumen ejecutivo – Conservas y Molinos del Litoral S.A. (empresa ficticia) – escenario de análisis: Moderado</v>
      </c>
      <c r="C7" s="37"/>
      <c r="D7" s="37"/>
      <c r="E7" s="37"/>
      <c r="F7" s="37"/>
      <c r="G7" s="37"/>
      <c r="H7" s="37"/>
      <c r="I7" s="37"/>
      <c r="J7" s="37"/>
    </row>
    <row r="8" spans="1:11" ht="18" customHeight="1" x14ac:dyDescent="0.25">
      <c r="B8" s="43" t="s">
        <v>409</v>
      </c>
      <c r="C8" s="44"/>
      <c r="D8" s="43" t="s">
        <v>440</v>
      </c>
      <c r="E8" s="44"/>
      <c r="F8" s="44"/>
      <c r="G8" s="43" t="s">
        <v>411</v>
      </c>
      <c r="H8" s="44"/>
      <c r="I8" s="43" t="s">
        <v>441</v>
      </c>
      <c r="J8" s="44"/>
    </row>
    <row r="9" spans="1:11" ht="33.950000000000003" customHeight="1" x14ac:dyDescent="0.25">
      <c r="B9" s="55">
        <f>SUM('Matriz de cuantificación'!$L$8:$L$43)/Divisor</f>
        <v>28362</v>
      </c>
      <c r="C9" s="51"/>
      <c r="D9" s="56" t="str">
        <f>FIXED((SUMIFS('Matriz de cuantificación'!$L$8:$L$43,'Matriz de cuantificación'!$Q$8:$Q$43,INDEX(ListaConfianza,1))*(1-INDEX(MargenConfianza,1))+SUMIFS('Matriz de cuantificación'!$L$8:$L$43,'Matriz de cuantificación'!$Q$8:$Q$43,INDEX(ListaConfianza,2))*(1-INDEX(MargenConfianza,2))+SUMIFS('Matriz de cuantificación'!$L$8:$L$43,'Matriz de cuantificación'!$Q$8:$Q$43,INDEX(ListaConfianza,3))*(1-INDEX(MargenConfianza,3))+SUMIFS('Matriz de cuantificación'!$L$8:$L$43,'Matriz de cuantificación'!$Q$8:$Q$43,"")*(1-MAX(MargenConfianza)))/Divisor,1)&amp;" – "&amp;FIXED((SUMIFS('Matriz de cuantificación'!$L$8:$L$43,'Matriz de cuantificación'!$Q$8:$Q$43,INDEX(ListaConfianza,1))*(1+INDEX(MargenConfianza,1))+SUMIFS('Matriz de cuantificación'!$L$8:$L$43,'Matriz de cuantificación'!$Q$8:$Q$43,INDEX(ListaConfianza,2))*(1+INDEX(MargenConfianza,2))+SUMIFS('Matriz de cuantificación'!$L$8:$L$43,'Matriz de cuantificación'!$Q$8:$Q$43,INDEX(ListaConfianza,3))*(1+INDEX(MargenConfianza,3))+SUMIFS('Matriz de cuantificación'!$L$8:$L$43,'Matriz de cuantificación'!$Q$8:$Q$43,"")*(1+MAX(MargenConfianza)))/Divisor,1)</f>
        <v>19.025,2 – 37.698,9</v>
      </c>
      <c r="E9" s="51"/>
      <c r="F9" s="51"/>
      <c r="G9" s="55">
        <f>SUM('Matriz de cuantificación'!$P$8:$P$43)/Divisor</f>
        <v>21405.599999999999</v>
      </c>
      <c r="H9" s="51"/>
      <c r="I9" s="55">
        <f>SUM('Matriz de cuantificación'!$N$8:$N$43)/Divisor</f>
        <v>5505</v>
      </c>
      <c r="J9" s="51"/>
    </row>
    <row r="10" spans="1:11" ht="18" customHeight="1" x14ac:dyDescent="0.25">
      <c r="B10" s="43" t="s">
        <v>442</v>
      </c>
      <c r="C10" s="44"/>
      <c r="D10" s="43" t="s">
        <v>443</v>
      </c>
      <c r="E10" s="44"/>
      <c r="F10" s="44"/>
      <c r="G10" s="43" t="s">
        <v>444</v>
      </c>
      <c r="H10" s="44"/>
      <c r="I10" s="43" t="s">
        <v>445</v>
      </c>
      <c r="J10" s="44"/>
    </row>
    <row r="11" spans="1:11" ht="33.950000000000003" customHeight="1" x14ac:dyDescent="0.25">
      <c r="B11" s="52">
        <f>COUNTA('Matriz de cuantificación'!$C$8:$C$43)</f>
        <v>26</v>
      </c>
      <c r="C11" s="51"/>
      <c r="D11" s="52">
        <f>COUNTA('Matriz de cuantificación'!$C$8:$C$43)-COUNT('Matriz de cuantificación'!$L$8:$L$43)</f>
        <v>2</v>
      </c>
      <c r="E11" s="51"/>
      <c r="F11" s="51"/>
      <c r="G11" s="52">
        <f>COUNTIFS('Matriz de cuantificación'!$Q$8:$Q$43,"Baja",'Matriz de cuantificación'!$L$8:$L$43,"&gt;="&amp;UmbralSignificativo)</f>
        <v>5</v>
      </c>
      <c r="H11" s="51"/>
      <c r="I11" s="55">
        <f>SUM(Oportunidades!$H$8:$H$19)/Divisor</f>
        <v>9400</v>
      </c>
      <c r="J11" s="51"/>
    </row>
    <row r="12" spans="1:11" ht="18" customHeight="1" x14ac:dyDescent="0.25">
      <c r="B12" s="43" t="s">
        <v>412</v>
      </c>
      <c r="C12" s="44"/>
      <c r="D12" s="43" t="s">
        <v>413</v>
      </c>
      <c r="E12" s="44"/>
      <c r="F12" s="44"/>
      <c r="G12" s="43" t="s">
        <v>446</v>
      </c>
      <c r="H12" s="44"/>
      <c r="I12" s="43" t="s">
        <v>447</v>
      </c>
      <c r="J12" s="44"/>
    </row>
    <row r="13" spans="1:11" ht="33.950000000000003" customHeight="1" x14ac:dyDescent="0.25">
      <c r="B13" s="53">
        <f>IF(SUM('Matriz de cuantificación'!$L$8:$L$43)=0,"n. d.",(SUM('Matriz de cuantificación'!$L$8:$L$43)-SUM('Matriz de cuantificación'!$P$8:$P$43))/SUM('Matriz de cuantificación'!$L$8:$L$43))</f>
        <v>0.24527184260630422</v>
      </c>
      <c r="C13" s="51"/>
      <c r="D13" s="53">
        <f>IF(EBITDA=0,"n. d.",SUM('Matriz de cuantificación'!$L$8:$L$43)/EBITDA)</f>
        <v>2.3635000000000002</v>
      </c>
      <c r="E13" s="51"/>
      <c r="F13" s="51"/>
      <c r="G13" s="53">
        <f>IF(COUNTA('Matriz de cuantificación'!$C$8:$C$43)=0,"n. d.",COUNTIFS('Matriz de cuantificación'!$C$8:$C$43,"&lt;&gt;",'Matriz de cuantificación'!$M$8:$M$43,"")/COUNTA('Matriz de cuantificación'!$C$8:$C$43))</f>
        <v>0.11538461538461539</v>
      </c>
      <c r="H13" s="51"/>
      <c r="I13" s="53">
        <f>IF(COUNT('Matriz de cuantificación'!$L$8:$L$43)=0,"n. d.",COUNTIFS('Matriz de cuantificación'!$Q$8:$Q$43,"Baja",'Matriz de cuantificación'!$L$8:$L$43,"&gt;=0")/COUNT('Matriz de cuantificación'!$L$8:$L$43))</f>
        <v>0.25</v>
      </c>
      <c r="J13" s="51"/>
    </row>
    <row r="14" spans="1:11" ht="54" customHeight="1" x14ac:dyDescent="0.25">
      <c r="B14" s="72" t="str">
        <f>"En el escenario "&amp;EscenarioAnalisis&amp;", los "&amp;COUNT('Matriz de cuantificación'!$L$8:$L$43)&amp;" riesgos climáticos cuantificados suman un impacto bruto estimado de "&amp;Moneda&amp;" "&amp;FIXED(SUM('Matriz de cuantificación'!$L$8:$L$43)/Divisor,1)&amp;" "&amp;UnidadResumen&amp;" (rango de "&amp;FIXED((SUMIFS('Matriz de cuantificación'!$L$8:$L$43,'Matriz de cuantificación'!$Q$8:$Q$43,INDEX(ListaConfianza,1))*(1-INDEX(MargenConfianza,1))+SUMIFS('Matriz de cuantificación'!$L$8:$L$43,'Matriz de cuantificación'!$Q$8:$Q$43,INDEX(ListaConfianza,2))*(1-INDEX(MargenConfianza,2))+SUMIFS('Matriz de cuantificación'!$L$8:$L$43,'Matriz de cuantificación'!$Q$8:$Q$43,INDEX(ListaConfianza,3))*(1-INDEX(MargenConfianza,3))+SUMIFS('Matriz de cuantificación'!$L$8:$L$43,'Matriz de cuantificación'!$Q$8:$Q$43,"")*(1-MAX(MargenConfianza)))/Divisor,1)&amp;" a "&amp;FIXED((SUMIFS('Matriz de cuantificación'!$L$8:$L$43,'Matriz de cuantificación'!$Q$8:$Q$43,INDEX(ListaConfianza,1))*(1+INDEX(MargenConfianza,1))+SUMIFS('Matriz de cuantificación'!$L$8:$L$43,'Matriz de cuantificación'!$Q$8:$Q$43,INDEX(ListaConfianza,2))*(1+INDEX(MargenConfianza,2))+SUMIFS('Matriz de cuantificación'!$L$8:$L$43,'Matriz de cuantificación'!$Q$8:$Q$43,INDEX(ListaConfianza,3))*(1+INDEX(MargenConfianza,3))+SUMIFS('Matriz de cuantificación'!$L$8:$L$43,'Matriz de cuantificación'!$Q$8:$Q$43,"")*(1+MAX(MargenConfianza)))/Divisor,1)&amp;"). Las medidas actuales lo reducirían a "&amp;Moneda&amp;" "&amp;FIXED(SUM('Matriz de cuantificación'!$P$8:$P$43)/Divisor,1)&amp;" "&amp;UnidadResumen&amp;", con un costo de "&amp;Moneda&amp;" "&amp;FIXED(SUM('Matriz de cuantificación'!$N$8:$N$43)/Divisor,1)&amp;" "&amp;UnidadResumen&amp;". Quedan "&amp;(COUNTA('Matriz de cuantificación'!$C$8:$C$43)-COUNT('Matriz de cuantificación'!$L$8:$L$43))&amp;" riesgos sin cuantificar (pendientes, no en cero) y "&amp;COUNTIFS('Matriz de cuantificación'!$Q$8:$Q$43,"Baja",'Matriz de cuantificación'!$L$8:$L$43,"&gt;="&amp;UmbralSignificativo)&amp;" estimaciones de alto impacto con confianza baja, que deben revisarse antes de decidir."</f>
        <v>En el escenario Moderado, los 24 riesgos climáticos cuantificados suman un impacto bruto estimado de USD 28.362,0 miles (rango de 19.025,2 a 37.698,9). Las medidas actuales lo reducirían a USD 21.405,6 miles, con un costo de USD 5.505,0 miles. Quedan 2 riesgos sin cuantificar (pendientes, no en cero) y 5 estimaciones de alto impacto con confianza baja, que deben revisarse antes de decidir.</v>
      </c>
      <c r="C14" s="73"/>
      <c r="D14" s="73"/>
      <c r="E14" s="73"/>
      <c r="F14" s="73"/>
      <c r="G14" s="73"/>
      <c r="H14" s="73"/>
      <c r="I14" s="73"/>
      <c r="J14" s="73"/>
    </row>
    <row r="16" spans="1:11" ht="15.75" customHeight="1" x14ac:dyDescent="0.25">
      <c r="B16" s="36" t="s">
        <v>448</v>
      </c>
      <c r="C16" s="37"/>
      <c r="D16" s="37"/>
      <c r="E16" s="37"/>
      <c r="F16" s="37"/>
      <c r="G16" s="37"/>
      <c r="H16" s="37"/>
      <c r="I16" s="37"/>
      <c r="J16" s="37"/>
    </row>
    <row r="17" spans="2:10" ht="33" customHeight="1" x14ac:dyDescent="0.25">
      <c r="B17" s="2" t="s">
        <v>88</v>
      </c>
      <c r="C17" s="2" t="s">
        <v>449</v>
      </c>
      <c r="D17" s="2" t="s">
        <v>450</v>
      </c>
      <c r="E17" s="2" t="s">
        <v>451</v>
      </c>
      <c r="F17" s="43" t="s">
        <v>412</v>
      </c>
      <c r="G17" s="44"/>
      <c r="H17" s="2" t="s">
        <v>440</v>
      </c>
      <c r="I17" s="2" t="s">
        <v>413</v>
      </c>
      <c r="J17" s="2" t="s">
        <v>407</v>
      </c>
    </row>
    <row r="18" spans="2:10" ht="21.95" customHeight="1" x14ac:dyDescent="0.25">
      <c r="B18" s="3" t="str">
        <f>'Escenarios y sensibilidad'!$B$10</f>
        <v>Base</v>
      </c>
      <c r="C18" s="33">
        <f>'Escenarios y sensibilidad'!$E$10</f>
        <v>9982000</v>
      </c>
      <c r="D18" s="21">
        <f>'Escenarios y sensibilidad'!$G$10</f>
        <v>7606150</v>
      </c>
      <c r="E18" s="21">
        <f>C18-D18</f>
        <v>2375850</v>
      </c>
      <c r="F18" s="54">
        <f>'Escenarios y sensibilidad'!$H$10</f>
        <v>0.2380134241634943</v>
      </c>
      <c r="G18" s="40"/>
      <c r="H18" s="17" t="str">
        <f>FIXED('Escenarios y sensibilidad'!$D$10/Divisor,1)&amp;" – "&amp;FIXED('Escenarios y sensibilidad'!$F$10/Divisor,1)&amp;" "&amp;UnidadResumen</f>
        <v>6.733,5 – 13.230,5 miles</v>
      </c>
      <c r="I18" s="23">
        <f>'Escenarios y sensibilidad'!$I$10</f>
        <v>0.83183333333333331</v>
      </c>
      <c r="J18" s="26">
        <f>'Escenarios y sensibilidad'!$C$10</f>
        <v>24</v>
      </c>
    </row>
    <row r="19" spans="2:10" ht="21.95" customHeight="1" x14ac:dyDescent="0.25">
      <c r="B19" s="3" t="str">
        <f>'Escenarios y sensibilidad'!$B$11</f>
        <v>Moderado</v>
      </c>
      <c r="C19" s="33">
        <f>'Escenarios y sensibilidad'!$E$11</f>
        <v>28362000</v>
      </c>
      <c r="D19" s="21">
        <f>'Escenarios y sensibilidad'!$G$11</f>
        <v>21405600</v>
      </c>
      <c r="E19" s="21">
        <f>C19-D19</f>
        <v>6956400</v>
      </c>
      <c r="F19" s="54">
        <f>'Escenarios y sensibilidad'!$H$11</f>
        <v>0.24527184260630422</v>
      </c>
      <c r="G19" s="40"/>
      <c r="H19" s="17" t="str">
        <f>FIXED('Escenarios y sensibilidad'!$D$11/Divisor,1)&amp;" – "&amp;FIXED('Escenarios y sensibilidad'!$F$11/Divisor,1)&amp;" "&amp;UnidadResumen</f>
        <v>19.025,2 – 37.698,9 miles</v>
      </c>
      <c r="I19" s="23">
        <f>'Escenarios y sensibilidad'!$I$11</f>
        <v>2.3635000000000002</v>
      </c>
      <c r="J19" s="26">
        <f>'Escenarios y sensibilidad'!$C$11</f>
        <v>24</v>
      </c>
    </row>
    <row r="20" spans="2:10" ht="21.95" customHeight="1" x14ac:dyDescent="0.25">
      <c r="B20" s="3" t="str">
        <f>'Escenarios y sensibilidad'!$B$12</f>
        <v>Severo</v>
      </c>
      <c r="C20" s="33">
        <f>'Escenarios y sensibilidad'!$E$12</f>
        <v>63340300</v>
      </c>
      <c r="D20" s="21">
        <f>'Escenarios y sensibilidad'!$G$12</f>
        <v>47051680</v>
      </c>
      <c r="E20" s="21">
        <f>C20-D20</f>
        <v>16288620</v>
      </c>
      <c r="F20" s="54">
        <f>'Escenarios y sensibilidad'!$H$12</f>
        <v>0.25716044919269404</v>
      </c>
      <c r="G20" s="40"/>
      <c r="H20" s="17" t="str">
        <f>FIXED('Escenarios y sensibilidad'!$D$12/Divisor,1)&amp;" – "&amp;FIXED('Escenarios y sensibilidad'!$F$12/Divisor,1)&amp;" "&amp;UnidadResumen</f>
        <v>42.636,7 – 84.043,9 miles</v>
      </c>
      <c r="I20" s="23">
        <f>'Escenarios y sensibilidad'!$I$12</f>
        <v>5.2783583333333333</v>
      </c>
      <c r="J20" s="26">
        <f>'Escenarios y sensibilidad'!$C$12</f>
        <v>24</v>
      </c>
    </row>
    <row r="21" spans="2:10" ht="47.1" customHeight="1" x14ac:dyDescent="0.25">
      <c r="B21" s="2" t="s">
        <v>452</v>
      </c>
      <c r="C21" s="2" t="s">
        <v>453</v>
      </c>
      <c r="D21" s="2" t="s">
        <v>454</v>
      </c>
      <c r="E21" s="2" t="s">
        <v>132</v>
      </c>
      <c r="F21" s="43" t="s">
        <v>455</v>
      </c>
      <c r="G21" s="44"/>
      <c r="H21" s="2" t="s">
        <v>456</v>
      </c>
      <c r="I21" s="2" t="s">
        <v>457</v>
      </c>
      <c r="J21" s="2" t="s">
        <v>150</v>
      </c>
    </row>
    <row r="22" spans="2:10" ht="21.95" customHeight="1" x14ac:dyDescent="0.25">
      <c r="B22" s="3" t="s">
        <v>458</v>
      </c>
      <c r="C22" s="9">
        <f>SUMPRODUCT((MetVariable="Costos operativos (OPEX)")*SUMIFS('Matriz de cuantificación'!$L$8:$L$43,'Matriz de cuantificación'!$F$8:$F$43,ListaMetodos))</f>
        <v>7591000</v>
      </c>
      <c r="D22" s="9">
        <f>SUMPRODUCT((MetVariable="CAPEX (inversión)")*SUMIFS('Matriz de cuantificación'!$L$8:$L$43,'Matriz de cuantificación'!$F$8:$F$43,ListaMetodos))</f>
        <v>5350000</v>
      </c>
      <c r="E22" s="9">
        <f>SUMPRODUCT((MetVariable="Margen perdido")*SUMIFS('Matriz de cuantificación'!$L$8:$L$43,'Matriz de cuantificación'!$F$8:$F$43,ListaMetodos))</f>
        <v>1626000</v>
      </c>
      <c r="F22" s="57">
        <f>SUMPRODUCT((MetVariable="Ingresos (ventas perdidas)")*SUMIFS('Matriz de cuantificación'!$L$8:$L$43,'Matriz de cuantificación'!$F$8:$F$43,ListaMetodos))</f>
        <v>5320000</v>
      </c>
      <c r="G22" s="51"/>
      <c r="H22" s="9">
        <f>SUMPRODUCT((MetVariable="Activos (estimación preliminar)")*SUMIFS('Matriz de cuantificación'!$L$8:$L$43,'Matriz de cuantificación'!$F$8:$F$43,ListaMetodos))</f>
        <v>7840000</v>
      </c>
      <c r="I22" s="9">
        <f>SUMPRODUCT((MetVariable="Pasivos y provisiones (estimación preliminar)")*SUMIFS('Matriz de cuantificación'!$L$8:$L$43,'Matriz de cuantificación'!$F$8:$F$43,ListaMetodos))</f>
        <v>360000</v>
      </c>
      <c r="J22" s="9">
        <f>SUMPRODUCT((MetVariable="Financiamiento")*SUMIFS('Matriz de cuantificación'!$L$8:$L$43,'Matriz de cuantificación'!$F$8:$F$43,ListaMetodos))</f>
        <v>275000</v>
      </c>
    </row>
    <row r="23" spans="2:10" ht="36" customHeight="1" x14ac:dyDescent="0.25">
      <c r="B23" s="46" t="s">
        <v>459</v>
      </c>
      <c r="C23" s="40"/>
      <c r="D23" s="40"/>
      <c r="E23" s="40"/>
      <c r="F23" s="40"/>
      <c r="G23" s="40"/>
      <c r="H23" s="40"/>
      <c r="I23" s="40"/>
      <c r="J23" s="40"/>
    </row>
    <row r="25" spans="2:10" ht="15.75" customHeight="1" x14ac:dyDescent="0.25">
      <c r="B25" s="36" t="s">
        <v>460</v>
      </c>
      <c r="C25" s="37"/>
      <c r="D25" s="37"/>
      <c r="E25" s="37"/>
      <c r="F25" s="37"/>
      <c r="H25" s="36" t="s">
        <v>461</v>
      </c>
      <c r="I25" s="37"/>
      <c r="J25" s="37"/>
    </row>
    <row r="26" spans="2:10" ht="33" customHeight="1" x14ac:dyDescent="0.25">
      <c r="B26" s="2" t="s">
        <v>462</v>
      </c>
      <c r="C26" s="2" t="s">
        <v>449</v>
      </c>
      <c r="D26" s="2" t="s">
        <v>411</v>
      </c>
      <c r="E26" s="2" t="s">
        <v>412</v>
      </c>
      <c r="F26" s="2" t="s">
        <v>463</v>
      </c>
      <c r="H26" s="2" t="s">
        <v>76</v>
      </c>
      <c r="I26" s="2" t="s">
        <v>449</v>
      </c>
      <c r="J26" s="2" t="s">
        <v>411</v>
      </c>
    </row>
    <row r="27" spans="2:10" ht="21.95" customHeight="1" x14ac:dyDescent="0.25">
      <c r="B27" s="3" t="str">
        <f>INDEX(TiposFijo,1)&amp;""</f>
        <v>Físico agudo</v>
      </c>
      <c r="C27" s="21">
        <f>IF($B27="","",SUMIFS('Matriz de cuantificación'!$L$8:$L$43,'Matriz de cuantificación'!$B$8:$B$43,$B27))</f>
        <v>3551000</v>
      </c>
      <c r="D27" s="21">
        <f>IF($B27="","",SUMIFS('Matriz de cuantificación'!$P$8:$P$43,'Matriz de cuantificación'!$B$8:$B$43,$B27))</f>
        <v>1711550</v>
      </c>
      <c r="E27" s="23">
        <f t="shared" ref="E27:E32" si="0">IF(OR($B27="",N(C27)=0),"–",(C27-D27)/C27)</f>
        <v>0.5180090115460434</v>
      </c>
      <c r="F27" s="26">
        <f>IF($B27="","",COUNTIFS('Matriz de cuantificación'!$B$8:$B$43,$B27,'Matriz de cuantificación'!$C$8:$C$43,"&lt;&gt;"))</f>
        <v>4</v>
      </c>
      <c r="H27" s="3" t="str">
        <f>INDEX(ListaHorizontes,1)</f>
        <v>Corto plazo</v>
      </c>
      <c r="I27" s="21">
        <f>SUMIFS('Matriz de cuantificación'!$L$8:$L$43,'Matriz de cuantificación'!$E$8:$E$43,$H27)</f>
        <v>9441000</v>
      </c>
      <c r="J27" s="21">
        <f>SUMIFS('Matriz de cuantificación'!$P$8:$P$43,'Matriz de cuantificación'!$E$8:$E$43,$H27)</f>
        <v>5440050</v>
      </c>
    </row>
    <row r="28" spans="2:10" ht="21.95" customHeight="1" x14ac:dyDescent="0.25">
      <c r="B28" s="3" t="str">
        <f>INDEX(TiposFijo,2)&amp;""</f>
        <v>Físico crónico</v>
      </c>
      <c r="C28" s="21">
        <f>IF($B28="","",SUMIFS('Matriz de cuantificación'!$L$8:$L$43,'Matriz de cuantificación'!$B$8:$B$43,$B28))</f>
        <v>5236000</v>
      </c>
      <c r="D28" s="21">
        <f>IF($B28="","",SUMIFS('Matriz de cuantificación'!$P$8:$P$43,'Matriz de cuantificación'!$B$8:$B$43,$B28))</f>
        <v>4246800</v>
      </c>
      <c r="E28" s="23">
        <f t="shared" si="0"/>
        <v>0.18892284186401834</v>
      </c>
      <c r="F28" s="26">
        <f>IF($B28="","",COUNTIFS('Matriz de cuantificación'!$B$8:$B$43,$B28,'Matriz de cuantificación'!$C$8:$C$43,"&lt;&gt;"))</f>
        <v>4</v>
      </c>
      <c r="H28" s="3" t="str">
        <f>INDEX(ListaHorizontes,2)</f>
        <v>Mediano plazo</v>
      </c>
      <c r="I28" s="21">
        <f>SUMIFS('Matriz de cuantificación'!$L$8:$L$43,'Matriz de cuantificación'!$E$8:$E$43,$H28)</f>
        <v>14921000</v>
      </c>
      <c r="J28" s="21">
        <f>SUMIFS('Matriz de cuantificación'!$P$8:$P$43,'Matriz de cuantificación'!$E$8:$E$43,$H28)</f>
        <v>12155550</v>
      </c>
    </row>
    <row r="29" spans="2:10" ht="21.95" customHeight="1" x14ac:dyDescent="0.25">
      <c r="B29" s="3" t="str">
        <f>INDEX(TiposFijo,3)&amp;""</f>
        <v>Transición: política y legal</v>
      </c>
      <c r="C29" s="21">
        <f>IF($B29="","",SUMIFS('Matriz de cuantificación'!$L$8:$L$43,'Matriz de cuantificación'!$B$8:$B$43,$B29))</f>
        <v>3210000</v>
      </c>
      <c r="D29" s="21">
        <f>IF($B29="","",SUMIFS('Matriz de cuantificación'!$P$8:$P$43,'Matriz de cuantificación'!$B$8:$B$43,$B29))</f>
        <v>2632500</v>
      </c>
      <c r="E29" s="23">
        <f t="shared" si="0"/>
        <v>0.17990654205607476</v>
      </c>
      <c r="F29" s="26">
        <f>IF($B29="","",COUNTIFS('Matriz de cuantificación'!$B$8:$B$43,$B29,'Matriz de cuantificación'!$C$8:$C$43,"&lt;&gt;"))</f>
        <v>5</v>
      </c>
      <c r="H29" s="3" t="str">
        <f>INDEX(ListaHorizontes,3)</f>
        <v>Largo plazo</v>
      </c>
      <c r="I29" s="21">
        <f>SUMIFS('Matriz de cuantificación'!$L$8:$L$43,'Matriz de cuantificación'!$E$8:$E$43,$H29)</f>
        <v>4000000</v>
      </c>
      <c r="J29" s="21">
        <f>SUMIFS('Matriz de cuantificación'!$P$8:$P$43,'Matriz de cuantificación'!$E$8:$E$43,$H29)</f>
        <v>3810000</v>
      </c>
    </row>
    <row r="30" spans="2:10" ht="21.95" customHeight="1" x14ac:dyDescent="0.25">
      <c r="B30" s="3" t="str">
        <f>INDEX(TiposFijo,4)&amp;""</f>
        <v>Transición: tecnología</v>
      </c>
      <c r="C30" s="21">
        <f>IF($B30="","",SUMIFS('Matriz de cuantificación'!$L$8:$L$43,'Matriz de cuantificación'!$B$8:$B$43,$B30))</f>
        <v>9570000</v>
      </c>
      <c r="D30" s="21">
        <f>IF($B30="","",SUMIFS('Matriz de cuantificación'!$P$8:$P$43,'Matriz de cuantificación'!$B$8:$B$43,$B30))</f>
        <v>8317000</v>
      </c>
      <c r="E30" s="23">
        <f t="shared" si="0"/>
        <v>0.13092998955067919</v>
      </c>
      <c r="F30" s="26">
        <f>IF($B30="","",COUNTIFS('Matriz de cuantificación'!$B$8:$B$43,$B30,'Matriz de cuantificación'!$C$8:$C$43,"&lt;&gt;"))</f>
        <v>5</v>
      </c>
    </row>
    <row r="31" spans="2:10" ht="21.95" customHeight="1" x14ac:dyDescent="0.25">
      <c r="B31" s="3" t="str">
        <f>INDEX(TiposFijo,5)&amp;""</f>
        <v>Transición: mercado</v>
      </c>
      <c r="C31" s="21">
        <f>IF($B31="","",SUMIFS('Matriz de cuantificación'!$L$8:$L$43,'Matriz de cuantificación'!$B$8:$B$43,$B31))</f>
        <v>5500000</v>
      </c>
      <c r="D31" s="21">
        <f>IF($B31="","",SUMIFS('Matriz de cuantificación'!$P$8:$P$43,'Matriz de cuantificación'!$B$8:$B$43,$B31))</f>
        <v>3718000</v>
      </c>
      <c r="E31" s="23">
        <f t="shared" si="0"/>
        <v>0.32400000000000001</v>
      </c>
      <c r="F31" s="26">
        <f>IF($B31="","",COUNTIFS('Matriz de cuantificación'!$B$8:$B$43,$B31,'Matriz de cuantificación'!$C$8:$C$43,"&lt;&gt;"))</f>
        <v>4</v>
      </c>
    </row>
    <row r="32" spans="2:10" ht="21.95" customHeight="1" x14ac:dyDescent="0.25">
      <c r="B32" s="3" t="str">
        <f>INDEX(TiposFijo,6)&amp;""</f>
        <v>Transición: reputación</v>
      </c>
      <c r="C32" s="21">
        <f>IF($B32="","",SUMIFS('Matriz de cuantificación'!$L$8:$L$43,'Matriz de cuantificación'!$B$8:$B$43,$B32))</f>
        <v>1295000</v>
      </c>
      <c r="D32" s="21">
        <f>IF($B32="","",SUMIFS('Matriz de cuantificación'!$P$8:$P$43,'Matriz de cuantificación'!$B$8:$B$43,$B32))</f>
        <v>779750</v>
      </c>
      <c r="E32" s="23">
        <f t="shared" si="0"/>
        <v>0.39787644787644788</v>
      </c>
      <c r="F32" s="26">
        <f>IF($B32="","",COUNTIFS('Matriz de cuantificación'!$B$8:$B$43,$B32,'Matriz de cuantificación'!$C$8:$C$43,"&lt;&gt;"))</f>
        <v>4</v>
      </c>
    </row>
    <row r="33" spans="2:10" ht="21.95" customHeight="1" x14ac:dyDescent="0.25">
      <c r="B33" s="2" t="s">
        <v>464</v>
      </c>
      <c r="C33" s="30">
        <f>SUMPRODUCT((TipoCategoria="Físico")*SUMIFS('Matriz de cuantificación'!$L$8:$L$43,'Matriz de cuantificación'!$B$8:$B$43,TiposFijo))</f>
        <v>8787000</v>
      </c>
      <c r="D33" s="30">
        <f>SUMPRODUCT((TipoCategoria="Físico")*SUMIFS('Matriz de cuantificación'!$P$8:$P$43,'Matriz de cuantificación'!$B$8:$B$43,TiposFijo))</f>
        <v>5958350</v>
      </c>
      <c r="E33" s="34">
        <f>IF(C33=0,"–",(C33-D33)/C33)</f>
        <v>0.32191305337430293</v>
      </c>
      <c r="F33" s="35">
        <f>SUMPRODUCT((TipoCategoria="Físico")*COUNTIFS('Matriz de cuantificación'!$B$8:$B$43,TiposFijo,'Matriz de cuantificación'!$C$8:$C$43,"&lt;&gt;"))</f>
        <v>8</v>
      </c>
    </row>
    <row r="34" spans="2:10" ht="21.95" customHeight="1" x14ac:dyDescent="0.25">
      <c r="B34" s="2" t="s">
        <v>465</v>
      </c>
      <c r="C34" s="30">
        <f>SUMPRODUCT((TipoCategoria="Transición")*SUMIFS('Matriz de cuantificación'!$L$8:$L$43,'Matriz de cuantificación'!$B$8:$B$43,TiposFijo))</f>
        <v>19575000</v>
      </c>
      <c r="D34" s="30">
        <f>SUMPRODUCT((TipoCategoria="Transición")*SUMIFS('Matriz de cuantificación'!$P$8:$P$43,'Matriz de cuantificación'!$B$8:$B$43,TiposFijo))</f>
        <v>15447250</v>
      </c>
      <c r="E34" s="34">
        <f>IF(C34=0,"–",(C34-D34)/C34)</f>
        <v>0.2108684546615581</v>
      </c>
      <c r="F34" s="35">
        <f>SUMPRODUCT((TipoCategoria="Transición")*COUNTIFS('Matriz de cuantificación'!$B$8:$B$43,TiposFijo,'Matriz de cuantificación'!$C$8:$C$43,"&lt;&gt;"))</f>
        <v>18</v>
      </c>
    </row>
    <row r="36" spans="2:10" ht="15.75" customHeight="1" x14ac:dyDescent="0.25">
      <c r="B36" s="36" t="s">
        <v>466</v>
      </c>
      <c r="C36" s="37"/>
      <c r="D36" s="37"/>
      <c r="E36" s="37"/>
      <c r="F36" s="37"/>
      <c r="G36" s="37"/>
      <c r="H36" s="37"/>
      <c r="I36" s="37"/>
      <c r="J36" s="37"/>
    </row>
    <row r="37" spans="2:10" ht="18" customHeight="1" x14ac:dyDescent="0.25">
      <c r="B37" s="2" t="s">
        <v>467</v>
      </c>
      <c r="C37" s="43" t="s">
        <v>468</v>
      </c>
      <c r="D37" s="44"/>
      <c r="E37" s="44"/>
      <c r="F37" s="44"/>
      <c r="G37" s="44"/>
      <c r="H37" s="2" t="s">
        <v>469</v>
      </c>
      <c r="I37" s="2" t="s">
        <v>449</v>
      </c>
      <c r="J37" s="2" t="s">
        <v>411</v>
      </c>
    </row>
    <row r="38" spans="2:10" ht="48" customHeight="1" x14ac:dyDescent="0.25">
      <c r="B38" s="3" t="str">
        <f>IF($J38="","1","1 · "&amp;INDEX('Matriz de cuantificación'!$A$1:$A$43,SUMPRODUCT(SMALL(('Matriz de cuantificación'!$P$8:$P$43=$J38)*ROW('Matriz de cuantificación'!$P$8:$P$43)+('Matriz de cuantificación'!$P$8:$P$43&lt;&gt;$J38)*1000000,COUNTIF($J$37:$J37,$J38)+1))))</f>
        <v>1 · RC-14</v>
      </c>
      <c r="C38" s="46" t="str">
        <f>IF($J38="","",INDEX('Matriz de cuantificación'!$C$1:$C$43,SUMPRODUCT(SMALL(('Matriz de cuantificación'!$P$8:$P$43=$J38)*ROW('Matriz de cuantificación'!$P$8:$P$43)+('Matriz de cuantificación'!$P$8:$P$43&lt;&gt;$J38)*1000000,COUNTIF($J$37:$J37,$J38)+1))))</f>
        <v>Debido a las metas de reducción de emisiones exigidas por reguladores y clientes, la organización tendría que reconvertir su sistema térmico, lo que demandaría inversiones no previstas en el plan de negocio.</v>
      </c>
      <c r="D38" s="40"/>
      <c r="E38" s="40"/>
      <c r="F38" s="40"/>
      <c r="G38" s="40"/>
      <c r="H38" s="17" t="str">
        <f>IF($J38="","",INDEX('Matriz de cuantificación'!$Q$1:$Q$43,SUMPRODUCT(SMALL(('Matriz de cuantificación'!$P$8:$P$43=$J38)*ROW('Matriz de cuantificación'!$P$8:$P$43)+('Matriz de cuantificación'!$P$8:$P$43&lt;&gt;$J38)*1000000,COUNTIF($J$37:$J37,$J38)+1)))&amp;" · "&amp;INDEX('Matriz de cuantificación'!$U$1:$U$43,SUMPRODUCT(SMALL(('Matriz de cuantificación'!$P$8:$P$43=$J38)*ROW('Matriz de cuantificación'!$P$8:$P$43)+('Matriz de cuantificación'!$P$8:$P$43&lt;&gt;$J38)*1000000,COUNTIF($J$37:$J37,$J38)+1))))</f>
        <v>Baja · Crítico</v>
      </c>
      <c r="I38" s="21">
        <f>IF($J38="","",INDEX('Matriz de cuantificación'!$L$1:$L$43,SUMPRODUCT(SMALL(('Matriz de cuantificación'!$P$8:$P$43=$J38)*ROW('Matriz de cuantificación'!$P$8:$P$43)+('Matriz de cuantificación'!$P$8:$P$43&lt;&gt;$J38)*1000000,COUNTIF($J$37:$J37,$J38)+1))))</f>
        <v>5000000</v>
      </c>
      <c r="J38" s="33">
        <f>IFERROR(LARGE('Matriz de cuantificación'!$P$8:$P$43,1),"")</f>
        <v>4750000</v>
      </c>
    </row>
    <row r="39" spans="2:10" ht="48" customHeight="1" x14ac:dyDescent="0.25">
      <c r="B39" s="3" t="str">
        <f>IF($J39="","2","2 · "&amp;INDEX('Matriz de cuantificación'!$A$1:$A$43,SUMPRODUCT(SMALL(('Matriz de cuantificación'!$P$8:$P$43=$J39)*ROW('Matriz de cuantificación'!$P$8:$P$43)+('Matriz de cuantificación'!$P$8:$P$43&lt;&gt;$J39)*1000000,COUNTIF($J$37:$J38,$J39)+1))))</f>
        <v>2 · RC-06</v>
      </c>
      <c r="C39" s="46" t="str">
        <f>IF($J39="","",INDEX('Matriz de cuantificación'!$C$1:$C$43,SUMPRODUCT(SMALL(('Matriz de cuantificación'!$P$8:$P$43=$J39)*ROW('Matriz de cuantificación'!$P$8:$P$43)+('Matriz de cuantificación'!$P$8:$P$43&lt;&gt;$J39)*1000000,COUNTIF($J$37:$J38,$J39)+1))))</f>
        <v>Debido al aumento gradual del nivel del mar, podría inundarse de forma recurrente el centro de distribución portuario, lo que reduciría su vida útil y obligaría a reconocer un deterioro de su valor.</v>
      </c>
      <c r="D39" s="40"/>
      <c r="E39" s="40"/>
      <c r="F39" s="40"/>
      <c r="G39" s="40"/>
      <c r="H39" s="17" t="str">
        <f>IF($J39="","",INDEX('Matriz de cuantificación'!$Q$1:$Q$43,SUMPRODUCT(SMALL(('Matriz de cuantificación'!$P$8:$P$43=$J39)*ROW('Matriz de cuantificación'!$P$8:$P$43)+('Matriz de cuantificación'!$P$8:$P$43&lt;&gt;$J39)*1000000,COUNTIF($J$37:$J38,$J39)+1)))&amp;" · "&amp;INDEX('Matriz de cuantificación'!$U$1:$U$43,SUMPRODUCT(SMALL(('Matriz de cuantificación'!$P$8:$P$43=$J39)*ROW('Matriz de cuantificación'!$P$8:$P$43)+('Matriz de cuantificación'!$P$8:$P$43&lt;&gt;$J39)*1000000,COUNTIF($J$37:$J38,$J39)+1))))</f>
        <v>Baja · Crítico</v>
      </c>
      <c r="I39" s="21">
        <f>IF($J39="","",INDEX('Matriz de cuantificación'!$L$1:$L$43,SUMPRODUCT(SMALL(('Matriz de cuantificación'!$P$8:$P$43=$J39)*ROW('Matriz de cuantificación'!$P$8:$P$43)+('Matriz de cuantificación'!$P$8:$P$43&lt;&gt;$J39)*1000000,COUNTIF($J$37:$J38,$J39)+1))))</f>
        <v>2100000</v>
      </c>
      <c r="J39" s="33">
        <f>IFERROR(LARGE('Matriz de cuantificación'!$P$8:$P$43,2),"")</f>
        <v>2100000</v>
      </c>
    </row>
    <row r="40" spans="2:10" ht="48" customHeight="1" x14ac:dyDescent="0.25">
      <c r="B40" s="3" t="str">
        <f>IF($J40="","3","3 · "&amp;INDEX('Matriz de cuantificación'!$A$1:$A$43,SUMPRODUCT(SMALL(('Matriz de cuantificación'!$P$8:$P$43=$J40)*ROW('Matriz de cuantificación'!$P$8:$P$43)+('Matriz de cuantificación'!$P$8:$P$43&lt;&gt;$J40)*1000000,COUNTIF($J$37:$J39,$J40)+1))))</f>
        <v>3 · RC-13</v>
      </c>
      <c r="C40" s="46" t="str">
        <f>IF($J40="","",INDEX('Matriz de cuantificación'!$C$1:$C$43,SUMPRODUCT(SMALL(('Matriz de cuantificación'!$P$8:$P$43=$J40)*ROW('Matriz de cuantificación'!$P$8:$P$43)+('Matriz de cuantificación'!$P$8:$P$43&lt;&gt;$J40)*1000000,COUNTIF($J$37:$J39,$J40)+1))))</f>
        <v>Debido a estándares de eficiencia y a la transición hacia fuentes limpias, las calderas actuales podrían salir de servicio antes del fin de su vida útil, lo que obligaría a reconocer el deterioro de su valor en libros.</v>
      </c>
      <c r="D40" s="40"/>
      <c r="E40" s="40"/>
      <c r="F40" s="40"/>
      <c r="G40" s="40"/>
      <c r="H40" s="17" t="str">
        <f>IF($J40="","",INDEX('Matriz de cuantificación'!$Q$1:$Q$43,SUMPRODUCT(SMALL(('Matriz de cuantificación'!$P$8:$P$43=$J40)*ROW('Matriz de cuantificación'!$P$8:$P$43)+('Matriz de cuantificación'!$P$8:$P$43&lt;&gt;$J40)*1000000,COUNTIF($J$37:$J39,$J40)+1)))&amp;" · "&amp;INDEX('Matriz de cuantificación'!$U$1:$U$43,SUMPRODUCT(SMALL(('Matriz de cuantificación'!$P$8:$P$43=$J40)*ROW('Matriz de cuantificación'!$P$8:$P$43)+('Matriz de cuantificación'!$P$8:$P$43&lt;&gt;$J40)*1000000,COUNTIF($J$37:$J39,$J40)+1))))</f>
        <v>Media · Crítico</v>
      </c>
      <c r="I40" s="21">
        <f>IF($J40="","",INDEX('Matriz de cuantificación'!$L$1:$L$43,SUMPRODUCT(SMALL(('Matriz de cuantificación'!$P$8:$P$43=$J40)*ROW('Matriz de cuantificación'!$P$8:$P$43)+('Matriz de cuantificación'!$P$8:$P$43&lt;&gt;$J40)*1000000,COUNTIF($J$37:$J39,$J40)+1))))</f>
        <v>1900000</v>
      </c>
      <c r="J40" s="33">
        <f>IFERROR(LARGE('Matriz de cuantificación'!$P$8:$P$43,3),"")</f>
        <v>1710000</v>
      </c>
    </row>
    <row r="41" spans="2:10" ht="48" customHeight="1" x14ac:dyDescent="0.25">
      <c r="B41" s="3" t="str">
        <f>IF($J41="","4","4 · "&amp;INDEX('Matriz de cuantificación'!$A$1:$A$43,SUMPRODUCT(SMALL(('Matriz de cuantificación'!$P$8:$P$43=$J41)*ROW('Matriz de cuantificación'!$P$8:$P$43)+('Matriz de cuantificación'!$P$8:$P$43&lt;&gt;$J41)*1000000,COUNTIF($J$37:$J40,$J41)+1))))</f>
        <v>4 · RC-17</v>
      </c>
      <c r="C41" s="46" t="str">
        <f>IF($J41="","",INDEX('Matriz de cuantificación'!$C$1:$C$43,SUMPRODUCT(SMALL(('Matriz de cuantificación'!$P$8:$P$43=$J41)*ROW('Matriz de cuantificación'!$P$8:$P$43)+('Matriz de cuantificación'!$P$8:$P$43&lt;&gt;$J41)*1000000,COUNTIF($J$37:$J40,$J41)+1))))</f>
        <v>Debido al cambio en las preferencias de los consumidores hacia productos de menor huella, podría caer la demanda del portafolio convencional, lo que reduciría las ventas.</v>
      </c>
      <c r="D41" s="40"/>
      <c r="E41" s="40"/>
      <c r="F41" s="40"/>
      <c r="G41" s="40"/>
      <c r="H41" s="17" t="str">
        <f>IF($J41="","",INDEX('Matriz de cuantificación'!$Q$1:$Q$43,SUMPRODUCT(SMALL(('Matriz de cuantificación'!$P$8:$P$43=$J41)*ROW('Matriz de cuantificación'!$P$8:$P$43)+('Matriz de cuantificación'!$P$8:$P$43&lt;&gt;$J41)*1000000,COUNTIF($J$37:$J40,$J41)+1)))&amp;" · "&amp;INDEX('Matriz de cuantificación'!$U$1:$U$43,SUMPRODUCT(SMALL(('Matriz de cuantificación'!$P$8:$P$43=$J41)*ROW('Matriz de cuantificación'!$P$8:$P$43)+('Matriz de cuantificación'!$P$8:$P$43&lt;&gt;$J41)*1000000,COUNTIF($J$37:$J40,$J41)+1))))</f>
        <v>Baja · Crítico</v>
      </c>
      <c r="I41" s="21">
        <f>IF($J41="","",INDEX('Matriz de cuantificación'!$L$1:$L$43,SUMPRODUCT(SMALL(('Matriz de cuantificación'!$P$8:$P$43=$J41)*ROW('Matriz de cuantificación'!$P$8:$P$43)+('Matriz de cuantificación'!$P$8:$P$43&lt;&gt;$J41)*1000000,COUNTIF($J$37:$J40,$J41)+1))))</f>
        <v>1840000</v>
      </c>
      <c r="J41" s="33">
        <f>IFERROR(LARGE('Matriz de cuantificación'!$P$8:$P$43,4),"")</f>
        <v>1564000</v>
      </c>
    </row>
    <row r="42" spans="2:10" ht="48" customHeight="1" x14ac:dyDescent="0.25">
      <c r="B42" s="3" t="str">
        <f>IF($J42="","5","5 · "&amp;INDEX('Matriz de cuantificación'!$A$1:$A$43,SUMPRODUCT(SMALL(('Matriz de cuantificación'!$P$8:$P$43=$J42)*ROW('Matriz de cuantificación'!$P$8:$P$43)+('Matriz de cuantificación'!$P$8:$P$43&lt;&gt;$J42)*1000000,COUNTIF($J$37:$J41,$J42)+1))))</f>
        <v>5 · RC-09</v>
      </c>
      <c r="C42" s="46" t="str">
        <f>IF($J42="","",INDEX('Matriz de cuantificación'!$C$1:$C$43,SUMPRODUCT(SMALL(('Matriz de cuantificación'!$P$8:$P$43=$J42)*ROW('Matriz de cuantificación'!$P$8:$P$43)+('Matriz de cuantificación'!$P$8:$P$43&lt;&gt;$J42)*1000000,COUNTIF($J$37:$J41,$J42)+1))))</f>
        <v>Debido a la adopción de un precio al carbono para la industria, las emisiones de las calderas quedarían gravadas, lo que crearía un costo operativo que hoy no existe.</v>
      </c>
      <c r="D42" s="40"/>
      <c r="E42" s="40"/>
      <c r="F42" s="40"/>
      <c r="G42" s="40"/>
      <c r="H42" s="17" t="str">
        <f>IF($J42="","",INDEX('Matriz de cuantificación'!$Q$1:$Q$43,SUMPRODUCT(SMALL(('Matriz de cuantificación'!$P$8:$P$43=$J42)*ROW('Matriz de cuantificación'!$P$8:$P$43)+('Matriz de cuantificación'!$P$8:$P$43&lt;&gt;$J42)*1000000,COUNTIF($J$37:$J41,$J42)+1)))&amp;" · "&amp;INDEX('Matriz de cuantificación'!$U$1:$U$43,SUMPRODUCT(SMALL(('Matriz de cuantificación'!$P$8:$P$43=$J42)*ROW('Matriz de cuantificación'!$P$8:$P$43)+('Matriz de cuantificación'!$P$8:$P$43&lt;&gt;$J42)*1000000,COUNTIF($J$37:$J41,$J42)+1))))</f>
        <v>Baja · Crítico</v>
      </c>
      <c r="I42" s="21">
        <f>IF($J42="","",INDEX('Matriz de cuantificación'!$L$1:$L$43,SUMPRODUCT(SMALL(('Matriz de cuantificación'!$P$8:$P$43=$J42)*ROW('Matriz de cuantificación'!$P$8:$P$43)+('Matriz de cuantificación'!$P$8:$P$43&lt;&gt;$J42)*1000000,COUNTIF($J$37:$J41,$J42)+1))))</f>
        <v>1700000</v>
      </c>
      <c r="J42" s="33">
        <f>IFERROR(LARGE('Matriz de cuantificación'!$P$8:$P$43,5),"")</f>
        <v>1445000</v>
      </c>
    </row>
    <row r="44" spans="2:10" ht="15.75" customHeight="1" x14ac:dyDescent="0.25">
      <c r="B44" s="36" t="s">
        <v>470</v>
      </c>
      <c r="C44" s="37"/>
      <c r="D44" s="37"/>
      <c r="E44" s="37"/>
      <c r="F44" s="37"/>
      <c r="G44" s="37"/>
      <c r="H44" s="37"/>
      <c r="I44" s="37"/>
      <c r="J44" s="37"/>
    </row>
    <row r="45" spans="2:10" ht="15" customHeight="1" x14ac:dyDescent="0.25"/>
    <row r="46" spans="2:10" ht="15" customHeight="1" x14ac:dyDescent="0.25"/>
    <row r="47" spans="2:10" ht="15" customHeight="1" x14ac:dyDescent="0.25"/>
    <row r="48" spans="2:10" ht="15" customHeight="1" x14ac:dyDescent="0.25"/>
    <row r="49" customFormat="1" ht="15" customHeight="1" x14ac:dyDescent="0.25"/>
    <row r="50" customFormat="1" ht="15" customHeight="1" x14ac:dyDescent="0.25"/>
    <row r="51" customFormat="1" ht="15" customHeight="1" x14ac:dyDescent="0.25"/>
    <row r="52" customFormat="1" ht="15" customHeight="1" x14ac:dyDescent="0.25"/>
    <row r="53" customFormat="1" ht="15" customHeight="1" x14ac:dyDescent="0.25"/>
    <row r="54" customFormat="1" ht="15" customHeight="1" x14ac:dyDescent="0.25"/>
    <row r="55" customFormat="1" ht="15" customHeight="1" x14ac:dyDescent="0.25"/>
    <row r="56" customFormat="1" ht="15" customHeight="1" x14ac:dyDescent="0.25"/>
    <row r="57" customFormat="1" ht="15" customHeight="1" x14ac:dyDescent="0.25"/>
    <row r="58" customFormat="1" ht="15" customHeight="1" x14ac:dyDescent="0.25"/>
    <row r="59" customFormat="1" ht="15" customHeight="1" x14ac:dyDescent="0.25"/>
    <row r="60" customFormat="1" ht="15" customHeight="1" x14ac:dyDescent="0.25"/>
    <row r="61" customFormat="1" ht="15" customHeight="1" x14ac:dyDescent="0.25"/>
    <row r="62" customFormat="1" ht="15" customHeight="1" x14ac:dyDescent="0.25"/>
    <row r="63" customFormat="1" ht="15" customHeight="1" x14ac:dyDescent="0.25"/>
    <row r="64" customFormat="1" ht="15" customHeight="1" x14ac:dyDescent="0.25"/>
    <row r="65" customFormat="1" ht="15" customHeight="1" x14ac:dyDescent="0.25"/>
    <row r="66" customFormat="1" ht="15" customHeight="1" x14ac:dyDescent="0.25"/>
    <row r="67" customFormat="1" ht="15" customHeight="1" x14ac:dyDescent="0.25"/>
    <row r="68" customFormat="1" ht="15" customHeight="1" x14ac:dyDescent="0.25"/>
    <row r="69" customFormat="1" ht="15" customHeight="1" x14ac:dyDescent="0.25"/>
    <row r="70" customFormat="1" ht="15" customHeight="1" x14ac:dyDescent="0.25"/>
    <row r="71" customFormat="1" ht="15" customHeight="1" x14ac:dyDescent="0.25"/>
    <row r="72" customFormat="1" ht="15" customHeight="1" x14ac:dyDescent="0.25"/>
    <row r="73" customFormat="1" ht="15" customHeight="1" x14ac:dyDescent="0.25"/>
    <row r="74" customFormat="1" ht="15" customHeight="1" x14ac:dyDescent="0.25"/>
    <row r="75" customFormat="1" ht="15" customHeight="1" x14ac:dyDescent="0.25"/>
    <row r="76" customFormat="1" ht="15" customHeight="1" x14ac:dyDescent="0.25"/>
    <row r="77" customFormat="1" ht="15" customHeight="1" x14ac:dyDescent="0.25"/>
    <row r="78" customFormat="1" ht="15" customHeight="1" x14ac:dyDescent="0.25"/>
    <row r="79" customFormat="1" ht="15" customHeight="1" x14ac:dyDescent="0.25"/>
    <row r="80" customFormat="1" ht="15" customHeight="1" x14ac:dyDescent="0.25"/>
    <row r="81" spans="2:10" ht="15" customHeight="1" x14ac:dyDescent="0.25"/>
    <row r="82" spans="2:10" ht="15" customHeight="1" x14ac:dyDescent="0.25"/>
    <row r="83" spans="2:10" ht="15" customHeight="1" x14ac:dyDescent="0.25"/>
    <row r="84" spans="2:10" ht="15" customHeight="1" x14ac:dyDescent="0.25"/>
    <row r="85" spans="2:10" ht="15" customHeight="1" x14ac:dyDescent="0.25"/>
    <row r="86" spans="2:10" ht="15" customHeight="1" x14ac:dyDescent="0.25"/>
    <row r="87" spans="2:10" ht="15" customHeight="1" x14ac:dyDescent="0.25"/>
    <row r="88" spans="2:10" ht="15" customHeight="1" x14ac:dyDescent="0.25"/>
    <row r="89" spans="2:10" ht="15" customHeight="1" x14ac:dyDescent="0.25"/>
    <row r="90" spans="2:10" ht="15" customHeight="1" x14ac:dyDescent="0.25"/>
    <row r="91" spans="2:10" ht="21.75" customHeight="1" x14ac:dyDescent="0.25">
      <c r="B91" s="46" t="s">
        <v>471</v>
      </c>
      <c r="C91" s="40"/>
      <c r="D91" s="40"/>
      <c r="E91" s="40"/>
      <c r="F91" s="40"/>
      <c r="G91" s="40"/>
      <c r="H91" s="40"/>
      <c r="I91" s="40"/>
      <c r="J91" s="40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</sheetData>
  <mergeCells count="47">
    <mergeCell ref="A1:K4"/>
    <mergeCell ref="I13:J13"/>
    <mergeCell ref="G9:H9"/>
    <mergeCell ref="H25:J25"/>
    <mergeCell ref="I9:J9"/>
    <mergeCell ref="B91:J91"/>
    <mergeCell ref="A5:K5"/>
    <mergeCell ref="B16:J16"/>
    <mergeCell ref="D10:F10"/>
    <mergeCell ref="B7:J7"/>
    <mergeCell ref="C38:G38"/>
    <mergeCell ref="I10:J10"/>
    <mergeCell ref="C37:G37"/>
    <mergeCell ref="B10:C10"/>
    <mergeCell ref="F22:G22"/>
    <mergeCell ref="I8:J8"/>
    <mergeCell ref="B9:C9"/>
    <mergeCell ref="C39:G39"/>
    <mergeCell ref="G8:H8"/>
    <mergeCell ref="B44:J44"/>
    <mergeCell ref="B12:C12"/>
    <mergeCell ref="F21:G21"/>
    <mergeCell ref="B11:C11"/>
    <mergeCell ref="G10:H10"/>
    <mergeCell ref="F20:G20"/>
    <mergeCell ref="F18:G18"/>
    <mergeCell ref="D12:F12"/>
    <mergeCell ref="C41:G41"/>
    <mergeCell ref="D9:F9"/>
    <mergeCell ref="G13:H13"/>
    <mergeCell ref="D8:F8"/>
    <mergeCell ref="B8:C8"/>
    <mergeCell ref="C40:G40"/>
    <mergeCell ref="F17:G17"/>
    <mergeCell ref="D11:F11"/>
    <mergeCell ref="D13:F13"/>
    <mergeCell ref="G12:H12"/>
    <mergeCell ref="C42:G42"/>
    <mergeCell ref="B25:F25"/>
    <mergeCell ref="G11:H11"/>
    <mergeCell ref="B14:J14"/>
    <mergeCell ref="F19:G19"/>
    <mergeCell ref="I11:J11"/>
    <mergeCell ref="B23:J23"/>
    <mergeCell ref="B13:C13"/>
    <mergeCell ref="I12:J12"/>
    <mergeCell ref="B36:J36"/>
  </mergeCells>
  <conditionalFormatting sqref="B18:J20">
    <cfRule type="expression" dxfId="1" priority="1">
      <formula>$B18=EscenarioAnalisis</formula>
    </cfRule>
  </conditionalFormatting>
  <conditionalFormatting sqref="H38:H42">
    <cfRule type="expression" dxfId="0" priority="2">
      <formula>LEFT($H38,4)="Baja"</formula>
    </cfRule>
  </conditionalFormatting>
  <pageMargins left="0.4" right="0.4" top="0.5" bottom="0.5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46</vt:i4>
      </vt:variant>
    </vt:vector>
  </HeadingPairs>
  <TitlesOfParts>
    <vt:vector size="52" baseType="lpstr">
      <vt:lpstr>Presentación</vt:lpstr>
      <vt:lpstr>Parámetros</vt:lpstr>
      <vt:lpstr>Matriz de cuantificación</vt:lpstr>
      <vt:lpstr>Oportunidades</vt:lpstr>
      <vt:lpstr>Escenarios y sensibilidad</vt:lpstr>
      <vt:lpstr>Dashboard</vt:lpstr>
      <vt:lpstr>ActivoResponsable</vt:lpstr>
      <vt:lpstr>ActivosFijo</vt:lpstr>
      <vt:lpstr>ActivosTotales</vt:lpstr>
      <vt:lpstr>Dashboard!Área_de_impresión</vt:lpstr>
      <vt:lpstr>'Escenarios y sensibilidad'!Área_de_impresión</vt:lpstr>
      <vt:lpstr>'Matriz de cuantificación'!Área_de_impresión</vt:lpstr>
      <vt:lpstr>Oportunidades!Área_de_impresión</vt:lpstr>
      <vt:lpstr>Parámetros!Área_de_impresión</vt:lpstr>
      <vt:lpstr>Presentación!Área_de_impresión</vt:lpstr>
      <vt:lpstr>BaseMaterialidad</vt:lpstr>
      <vt:lpstr>Divisor</vt:lpstr>
      <vt:lpstr>EBITDA</vt:lpstr>
      <vt:lpstr>EscenarioAnalisis</vt:lpstr>
      <vt:lpstr>FactorModerado</vt:lpstr>
      <vt:lpstr>FactorSevero</vt:lpstr>
      <vt:lpstr>FechaEvaluacion</vt:lpstr>
      <vt:lpstr>FlujoCaja</vt:lpstr>
      <vt:lpstr>FrecuenciaRevision</vt:lpstr>
      <vt:lpstr>Ingresos</vt:lpstr>
      <vt:lpstr>ListaConfianza</vt:lpstr>
      <vt:lpstr>ListaEscenarios</vt:lpstr>
      <vt:lpstr>ListaHorizontes</vt:lpstr>
      <vt:lpstr>ListaMetodos</vt:lpstr>
      <vt:lpstr>ListaNiveles</vt:lpstr>
      <vt:lpstr>ListaTipos</vt:lpstr>
      <vt:lpstr>ListaVariables</vt:lpstr>
      <vt:lpstr>MargenConfianza</vt:lpstr>
      <vt:lpstr>MetMonetario</vt:lpstr>
      <vt:lpstr>MetOperacion</vt:lpstr>
      <vt:lpstr>MetUnidadSupuesto</vt:lpstr>
      <vt:lpstr>MetVariable</vt:lpstr>
      <vt:lpstr>Moneda</vt:lpstr>
      <vt:lpstr>Nivel_Riesgo_1</vt:lpstr>
      <vt:lpstr>Nivel_Riesgo_2</vt:lpstr>
      <vt:lpstr>Nivel_Riesgo_3</vt:lpstr>
      <vt:lpstr>Nivel_Riesgo_4</vt:lpstr>
      <vt:lpstr>Organizacion</vt:lpstr>
      <vt:lpstr>TipoCategoria</vt:lpstr>
      <vt:lpstr>TiposFijo</vt:lpstr>
      <vt:lpstr>'Matriz de cuantificación'!Títulos_a_imprimir</vt:lpstr>
      <vt:lpstr>Oportunidades!Títulos_a_imprimir</vt:lpstr>
      <vt:lpstr>TopeEfectividad</vt:lpstr>
      <vt:lpstr>UmbralCritico</vt:lpstr>
      <vt:lpstr>UmbralModerado</vt:lpstr>
      <vt:lpstr>UmbralSignificativo</vt:lpstr>
      <vt:lpstr>UnidadResumen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Nilmarieth Sanchez</cp:lastModifiedBy>
  <dcterms:created xsi:type="dcterms:W3CDTF">2026-10-20T15:37:58Z</dcterms:created>
  <dcterms:modified xsi:type="dcterms:W3CDTF">2026-10-20T15:59:51Z</dcterms:modified>
</cp:coreProperties>
</file>